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5 ЕСЭ И_ИЭП\2022\27. Изыскания ИГИ по ТК-21 Петрова\1.1. Приложения к заявке\1.1.3 Техническое задание\"/>
    </mc:Choice>
  </mc:AlternateContent>
  <bookViews>
    <workbookView xWindow="0" yWindow="0" windowWidth="28800" windowHeight="11865" tabRatio="877" firstSheet="1" activeTab="1"/>
  </bookViews>
  <sheets>
    <sheet name="КП" sheetId="58" state="hidden" r:id="rId1"/>
    <sheet name="Кал план" sheetId="63" r:id="rId2"/>
    <sheet name="1 геодез" sheetId="2" state="hidden" r:id="rId3"/>
    <sheet name="2 Гидрометео" sheetId="4" state="hidden" r:id="rId4"/>
    <sheet name="3 Оценка вреда биоресурсам" sheetId="18" state="hidden" r:id="rId5"/>
    <sheet name="9 Инж-археологич изыскания" sheetId="21" state="hidden" r:id="rId6"/>
    <sheet name="18 ГОЧС" sheetId="57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hidden="1">#REF!</definedName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альт">#REF!</definedName>
    <definedName name="альтернативный">#REF!</definedName>
    <definedName name="альтернативный1">#REF!</definedName>
    <definedName name="Благоустр">[1]Опции!#REF!</definedName>
    <definedName name="геодезия">#REF!</definedName>
    <definedName name="геология">#REF!</definedName>
    <definedName name="геофизика">#REF!</definedName>
    <definedName name="лаборатория">#REF!</definedName>
    <definedName name="_xlnm.Print_Area" localSheetId="4">'3 Оценка вреда биоресурсам'!$A$1:$G$45</definedName>
    <definedName name="прочие">#REF!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  <definedName name="цууу">#REF!</definedName>
    <definedName name="ьь">#REF!</definedName>
  </definedNames>
  <calcPr calcId="162913"/>
</workbook>
</file>

<file path=xl/calcChain.xml><?xml version="1.0" encoding="utf-8"?>
<calcChain xmlns="http://schemas.openxmlformats.org/spreadsheetml/2006/main">
  <c r="B17" i="63" l="1"/>
  <c r="A12" i="63"/>
  <c r="B30" i="58" l="1"/>
  <c r="B26" i="58"/>
  <c r="B35" i="58" l="1"/>
  <c r="B34" i="58"/>
  <c r="B33" i="58"/>
  <c r="B32" i="58"/>
  <c r="B31" i="58"/>
  <c r="B27" i="58"/>
  <c r="B25" i="58"/>
  <c r="B24" i="58"/>
  <c r="B18" i="58"/>
  <c r="B17" i="58"/>
  <c r="B16" i="58"/>
  <c r="I14" i="57" l="1"/>
  <c r="I22" i="57" s="1"/>
  <c r="I23" i="57" s="1"/>
  <c r="I24" i="57" s="1"/>
  <c r="I25" i="57" s="1"/>
  <c r="G28" i="58" l="1"/>
  <c r="G29" i="58"/>
  <c r="G16" i="58" l="1"/>
  <c r="E18" i="4" l="1"/>
  <c r="G17" i="58" l="1"/>
  <c r="D65" i="4"/>
  <c r="E62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7" i="4"/>
  <c r="E16" i="4"/>
  <c r="E15" i="4"/>
  <c r="G30" i="58" l="1"/>
  <c r="G34" i="58" l="1"/>
  <c r="G25" i="58" l="1"/>
  <c r="G23" i="58"/>
  <c r="G35" i="58" l="1"/>
  <c r="G19" i="58"/>
  <c r="G21" i="58"/>
  <c r="G22" i="58"/>
  <c r="G27" i="58" l="1"/>
  <c r="F55" i="21" l="1"/>
  <c r="F40" i="21"/>
  <c r="F39" i="21"/>
  <c r="F38" i="21"/>
  <c r="F37" i="21"/>
  <c r="F36" i="21"/>
  <c r="F27" i="21"/>
  <c r="E24" i="21"/>
  <c r="E26" i="21" s="1"/>
  <c r="F26" i="21" s="1"/>
  <c r="F23" i="21"/>
  <c r="F16" i="21"/>
  <c r="F17" i="21" s="1"/>
  <c r="F18" i="21" s="1"/>
  <c r="F41" i="21" l="1"/>
  <c r="F42" i="21" s="1"/>
  <c r="F24" i="21"/>
  <c r="E25" i="21"/>
  <c r="F25" i="21" s="1"/>
  <c r="F19" i="21"/>
  <c r="F20" i="21" s="1"/>
  <c r="F28" i="21" l="1"/>
  <c r="F29" i="21" s="1"/>
  <c r="F30" i="21" s="1"/>
  <c r="F31" i="21" s="1"/>
  <c r="F43" i="21"/>
  <c r="F44" i="21" s="1"/>
  <c r="F45" i="21" s="1"/>
  <c r="F32" i="21"/>
  <c r="F33" i="21" s="1"/>
  <c r="F46" i="21" l="1"/>
  <c r="F53" i="21" s="1"/>
  <c r="F54" i="21"/>
  <c r="F47" i="21" l="1"/>
  <c r="F48" i="21" s="1"/>
  <c r="F49" i="21" s="1"/>
  <c r="F50" i="21" s="1"/>
  <c r="F56" i="21"/>
  <c r="G26" i="58" l="1"/>
  <c r="F57" i="21"/>
  <c r="A12" i="18" l="1"/>
  <c r="G33" i="58" l="1"/>
  <c r="E63" i="4"/>
  <c r="E64" i="4" s="1"/>
  <c r="E65" i="4" s="1"/>
  <c r="E66" i="4" s="1"/>
  <c r="G31" i="58" l="1"/>
  <c r="G18" i="58" l="1"/>
  <c r="F33" i="18"/>
  <c r="F30" i="18"/>
  <c r="F32" i="18" s="1"/>
  <c r="E22" i="18"/>
  <c r="F34" i="18" s="1"/>
  <c r="G21" i="18"/>
  <c r="G20" i="18"/>
  <c r="G19" i="18"/>
  <c r="A13" i="18"/>
  <c r="G22" i="18" l="1"/>
  <c r="F35" i="18" s="1"/>
  <c r="F36" i="18" s="1"/>
  <c r="B41" i="18" s="1"/>
  <c r="G41" i="18" s="1"/>
  <c r="G20" i="58" l="1"/>
  <c r="G32" i="58" l="1"/>
  <c r="T25" i="2" l="1"/>
  <c r="G24" i="58" l="1"/>
  <c r="G36" i="58" s="1"/>
  <c r="E11" i="2"/>
  <c r="H26" i="2"/>
  <c r="Q26" i="2" s="1"/>
  <c r="Q29" i="2"/>
  <c r="H27" i="2" l="1"/>
  <c r="Q27" i="2" s="1"/>
  <c r="Q37" i="2" s="1"/>
  <c r="J40" i="2" s="1"/>
  <c r="Q40" i="2" s="1"/>
  <c r="J32" i="2"/>
  <c r="Q32" i="2"/>
  <c r="J33" i="2" s="1"/>
  <c r="Q33" i="2" s="1"/>
  <c r="J34" i="2" s="1"/>
  <c r="Q34" i="2" l="1"/>
  <c r="J35" i="2" s="1"/>
  <c r="Q35" i="2" l="1"/>
  <c r="Q36" i="2" s="1"/>
  <c r="J39" i="2" s="1"/>
  <c r="Q39" i="2" s="1"/>
  <c r="Q41" i="2" s="1"/>
  <c r="J42" i="2" l="1"/>
  <c r="Q42" i="2" s="1"/>
  <c r="J43" i="2" s="1"/>
  <c r="Q43" i="2" s="1"/>
  <c r="J45" i="2" l="1"/>
  <c r="Q44" i="2"/>
  <c r="Q45" i="2" l="1"/>
  <c r="Q46" i="2" s="1"/>
</calcChain>
</file>

<file path=xl/sharedStrings.xml><?xml version="1.0" encoding="utf-8"?>
<sst xmlns="http://schemas.openxmlformats.org/spreadsheetml/2006/main" count="501" uniqueCount="399">
  <si>
    <t>УТВЕРЖДАЮ:</t>
  </si>
  <si>
    <t xml:space="preserve">Технический  директор филиала ПАО "Иркутскэнерго"  </t>
  </si>
  <si>
    <t>УТС Ново-Иркутская ТЭЦ</t>
  </si>
  <si>
    <t>________________  В.В.Янышевский</t>
  </si>
  <si>
    <t>Итого:</t>
  </si>
  <si>
    <t>Начальник ПТО УТС НИТЭЦ</t>
  </si>
  <si>
    <t>Инженер ПТО УТС НИТЭЦ</t>
  </si>
  <si>
    <t>Е.А.Корнилова</t>
  </si>
  <si>
    <t>СМЕТА № 1</t>
  </si>
  <si>
    <t>на проектные (изыскательские) работы</t>
  </si>
  <si>
    <t xml:space="preserve"> </t>
  </si>
  <si>
    <t>Наименование предприятия,</t>
  </si>
  <si>
    <t>Инженерно-геодезические изыскания на объекте:</t>
  </si>
  <si>
    <t xml:space="preserve">здания,сооружения, стадии </t>
  </si>
  <si>
    <t>проектирования этапа, вида</t>
  </si>
  <si>
    <t xml:space="preserve"> проектных и изыскательских работ </t>
  </si>
  <si>
    <t>№№</t>
  </si>
  <si>
    <t>Характеристика предприятия</t>
  </si>
  <si>
    <t xml:space="preserve">№частей, глав, таблиц, </t>
  </si>
  <si>
    <t>Расчет стоимости: а+вх, или</t>
  </si>
  <si>
    <t>Стоимость</t>
  </si>
  <si>
    <t xml:space="preserve">здания, сооружения и вида работ </t>
  </si>
  <si>
    <t>пунктов указаний к</t>
  </si>
  <si>
    <t xml:space="preserve"> (объем строительно-монтажных)x</t>
  </si>
  <si>
    <t>(рублей)</t>
  </si>
  <si>
    <t>разделу или  главе сбор</t>
  </si>
  <si>
    <t>100 или кол-во  Х цена</t>
  </si>
  <si>
    <t xml:space="preserve">ника цен на проект </t>
  </si>
  <si>
    <t xml:space="preserve">и изыскат. работы для </t>
  </si>
  <si>
    <t xml:space="preserve">   </t>
  </si>
  <si>
    <t xml:space="preserve">строительства </t>
  </si>
  <si>
    <t>протяженность</t>
  </si>
  <si>
    <t>с двух сторон</t>
  </si>
  <si>
    <t>Топографическая съемка м-ба 1:500</t>
  </si>
  <si>
    <t xml:space="preserve">СБЦ-2004 </t>
  </si>
  <si>
    <t xml:space="preserve">с сечением рельефа через 0,5 м. </t>
  </si>
  <si>
    <t>табл. 9 § 5.</t>
  </si>
  <si>
    <t>полевые работы</t>
  </si>
  <si>
    <t>прим. 4</t>
  </si>
  <si>
    <t>х</t>
  </si>
  <si>
    <t>камеральные работы</t>
  </si>
  <si>
    <t>ОУ п. 15 е, п. 15б</t>
  </si>
  <si>
    <t xml:space="preserve">Согласование положения подземных </t>
  </si>
  <si>
    <t xml:space="preserve">сетей с эксплуатирующими </t>
  </si>
  <si>
    <t>т.75 , прим. 3</t>
  </si>
  <si>
    <t>Неблагоприятный период</t>
  </si>
  <si>
    <t>п.8г т.2.  § 2</t>
  </si>
  <si>
    <t xml:space="preserve">Итого полевых работ </t>
  </si>
  <si>
    <t>Х</t>
  </si>
  <si>
    <t>С коэффициентом 0,85</t>
  </si>
  <si>
    <t>ОУ п. 14</t>
  </si>
  <si>
    <t>Внутренний транспорт</t>
  </si>
  <si>
    <r>
      <t xml:space="preserve">т. 4 § </t>
    </r>
    <r>
      <rPr>
        <sz val="10"/>
        <color rgb="FFFF0000"/>
        <rFont val="Arial"/>
        <family val="2"/>
        <charset val="204"/>
      </rPr>
      <t>1</t>
    </r>
  </si>
  <si>
    <t>от</t>
  </si>
  <si>
    <t>Организация и ликвидация работ</t>
  </si>
  <si>
    <t>ОУ п. 13</t>
  </si>
  <si>
    <t xml:space="preserve">Итого </t>
  </si>
  <si>
    <t>C учетом районного коэффициента</t>
  </si>
  <si>
    <t>K=1,3</t>
  </si>
  <si>
    <t>Всего по СБЦ:</t>
  </si>
  <si>
    <t>Оформление разрешения</t>
  </si>
  <si>
    <t>табл. 80 § 7</t>
  </si>
  <si>
    <t>Инфляционный коэффициент</t>
  </si>
  <si>
    <t>пересчет   работ  2001 г. к  1 кв. 2016г. Письмо Минрегиона РФ от 19.02.2016 N 4688-ХМ/05</t>
  </si>
  <si>
    <t>ИТОГО</t>
  </si>
  <si>
    <t>Налог на добавленную стоимость</t>
  </si>
  <si>
    <t>Закон РФ</t>
  </si>
  <si>
    <t>Всего по смете</t>
  </si>
  <si>
    <t>организациями – 13 организаций</t>
  </si>
  <si>
    <t>II кат., 5,5 га</t>
  </si>
  <si>
    <t>УТВЕРЖДАЮ :</t>
  </si>
  <si>
    <t>Технический директор УТС НИТЭЦ</t>
  </si>
  <si>
    <t>филиала ПАО "Иркутскэнерго"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</si>
  <si>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</si>
  <si>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</si>
  <si>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</si>
  <si>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Начальник ПТО  УТС НИТЭЦ</t>
  </si>
  <si>
    <t>СМЕТА № 3</t>
  </si>
  <si>
    <t>В.В.Янышевский</t>
  </si>
  <si>
    <t xml:space="preserve">1. Расчет коэффициента квалификации (участия) исполнителей, участвующих в </t>
  </si>
  <si>
    <t>выполнении работ (услуг)</t>
  </si>
  <si>
    <t>№ п/п</t>
  </si>
  <si>
    <t>Наименование должностей исполнителей</t>
  </si>
  <si>
    <t>Индекс уровня зарплаты специалистов исполнителей работы</t>
  </si>
  <si>
    <t>ГИП</t>
  </si>
  <si>
    <t>Ведущий инженер</t>
  </si>
  <si>
    <t xml:space="preserve">Инженер </t>
  </si>
  <si>
    <t>2. Расчет себестоимости проводимых работ в базовом уровне цен</t>
  </si>
  <si>
    <t>Показатель</t>
  </si>
  <si>
    <t>Значение показателя</t>
  </si>
  <si>
    <t xml:space="preserve">Среднемесячная зарплата проектировщика (руб) </t>
  </si>
  <si>
    <t>в ценах на 01.01.2001</t>
  </si>
  <si>
    <t>Кол-во раб.дней в месяце (дней)</t>
  </si>
  <si>
    <t>Среднедневная зарплата проектировщика (руб)</t>
  </si>
  <si>
    <t xml:space="preserve">Удельный вес зарплаты в себестоимости работ (%) </t>
  </si>
  <si>
    <t>Единичная себестоимость (руб)</t>
  </si>
  <si>
    <t>Продолжительность разработки (дней)</t>
  </si>
  <si>
    <t>Численность разработчиков (чел.)</t>
  </si>
  <si>
    <t xml:space="preserve">Коэффициент квалификации (участия) </t>
  </si>
  <si>
    <t>3. Расчет стоимости работ в базовом уровне цен</t>
  </si>
  <si>
    <t>свод</t>
  </si>
  <si>
    <t>Коэффициент к итогу сметной стоимости,обусловлен-ный районым регулированием</t>
  </si>
  <si>
    <t>Коэффициент к итогу сметной стоимости,обусловлен-ный надбавками в Южных районах Ирк. Обл.</t>
  </si>
  <si>
    <t>Е.А.Березин</t>
  </si>
  <si>
    <t xml:space="preserve">Наименование объекта проектирования: </t>
  </si>
  <si>
    <t>2</t>
  </si>
  <si>
    <t>3</t>
  </si>
  <si>
    <t>4</t>
  </si>
  <si>
    <t>5</t>
  </si>
  <si>
    <t>"____"_____________ 2017  г.</t>
  </si>
  <si>
    <t>Фактическое время участия исполнителя в работе, Тф (дней)</t>
  </si>
  <si>
    <t>Плановая продолжи-тельность выполнения работы, Тп (дней)</t>
  </si>
  <si>
    <t>Численность исполнителей одной квалификации, Чi  (чел.)</t>
  </si>
  <si>
    <t xml:space="preserve">Коэффициент квалификации (участия) специалистов, Ккв (уч) </t>
  </si>
  <si>
    <t>Общая себестоимость выполняемых работ (услуг), Сс (2001г.) тыс.руб.</t>
  </si>
  <si>
    <t>Уровень рентабель-ности, Р, дол.ед.</t>
  </si>
  <si>
    <t xml:space="preserve">Коэффициент пересчета базовой стоимости работ, К пер </t>
  </si>
  <si>
    <t>Стоимость работ, Сс, руб.</t>
  </si>
  <si>
    <t>С.В.Валукин</t>
  </si>
  <si>
    <t>18 объектов с заменой трубопроводов</t>
  </si>
  <si>
    <t xml:space="preserve">18 объектов по 3 чел. дня на объект </t>
  </si>
  <si>
    <t>54 чел. дней</t>
  </si>
  <si>
    <t>СОГЛАСОВАНО:</t>
  </si>
  <si>
    <t xml:space="preserve">Генеральный директор </t>
  </si>
  <si>
    <t>ООО "ИркутскЭнергоПроект"</t>
  </si>
  <si>
    <t>________________И.Г.Афанасьев</t>
  </si>
  <si>
    <t>Начальник ПТО УТС Н-И ТЭЦ</t>
  </si>
  <si>
    <t>Инженер ПТО УТС Н-И ТЭЦ</t>
  </si>
  <si>
    <t xml:space="preserve">Инженерно-гидрометеорологические  изыскания </t>
  </si>
  <si>
    <t>Расчет стоимости: (a+bx)*Kj или (стоимость строительно-монтажных работ)*проц./ 100 или количество * цена, тыс.руб.</t>
  </si>
  <si>
    <t>Раздел 1. Полевые работ</t>
  </si>
  <si>
    <t xml:space="preserve">Рекогносцировочное обследование реки: категория сложности 1, полевые работы, 1(1 км реки) </t>
  </si>
  <si>
    <t xml:space="preserve">СБЦ "Инженерно-гидрографические работы. Инженерно-гидрометеорологические изыскания на реках (2001)" табл.43 п.1-1-1
(СБЦ104-43-1-1-1) </t>
  </si>
  <si>
    <t xml:space="preserve">Рекогносцировочное обследование бассейна реки: категория сложности 1, полевые работы, 1(1 км маршрута) </t>
  </si>
  <si>
    <t xml:space="preserve">СБЦ "Инженерно-гидрографические работы. Инженерно-гидрометеорологические изыскания на реках (2001)" табл.43 п.2-1-1
(СБЦ104-43-2-1-1) </t>
  </si>
  <si>
    <t xml:space="preserve">Сооружение водомерного поста из одной сваи (рейки): категория сложности 1, 1(1 пост) </t>
  </si>
  <si>
    <t xml:space="preserve">СБЦ "Инженерно-гидрографические работы. Инженерно-гидрометеорологические изыскания на реках (2001)" табл.44 п.1-1
(СБЦ104-44-1-1) </t>
  </si>
  <si>
    <t xml:space="preserve">Наблюдения на водомерном посту, гидрометрическом лотке, водосливе, число наблюдений в сутки: 2, полевые работы, 1(1 месяц наблюдений) </t>
  </si>
  <si>
    <t xml:space="preserve">СБЦ "Инженерно-гидрографические работы. Инженерно-гидрометеорологические изыскания на реках (2001)" табл.47 п.1-2-1
(СБЦ104-47-1-2-1) </t>
  </si>
  <si>
    <t xml:space="preserve">Измерение расхода воды детальным методом, ширина реки: свыше 300 до 600 м, полевые работы, 1(1 расход) </t>
  </si>
  <si>
    <t xml:space="preserve">СБЦ "Инженерно-гидрографические работы. Инженерно-гидрометеорологические изыскания на реках (2001)" табл.48 п.1-4-1
(СБЦ104-48-1-4-1) </t>
  </si>
  <si>
    <t xml:space="preserve">Определение скорости и направления течения, ширина реки: свыше 300 до 600 м, полевые работы, 1(1 профиль (1 серия)) </t>
  </si>
  <si>
    <t xml:space="preserve">СБЦ "Инженерно-гидрографические работы. Инженерно-гидрометеорологические изыскания на реках (2001)" табл.48 п.2-4-1
(СБЦ104-48-2-4-1) </t>
  </si>
  <si>
    <t xml:space="preserve">Промеры глубин, ширина реки: свыше 300 до 600 м, 1(1 профиль) </t>
  </si>
  <si>
    <t xml:space="preserve">СБЦ "Инженерно-гидрографические работы. Инженерно-гидрометеорологические изыскания на реках (2001)" табл.48 п.3-4
(СБЦ104-48-3-4) </t>
  </si>
  <si>
    <t xml:space="preserve">Измерение расхода взвешенных наносов, ширина реки: свыше 300 до 600 м, полевые работы, 1(1 расход) </t>
  </si>
  <si>
    <t xml:space="preserve">СБЦ "Инженерно-гидрографические работы. Инженерно-гидрометеорологические изыскания на реках (2001)" табл.48 п.4-4-1
(СБЦ104-48-4-4-1) </t>
  </si>
  <si>
    <t xml:space="preserve">Отбор проб воды на мутность, ширина реки: свыше 300 до 600 м, 1(1 фильтр) </t>
  </si>
  <si>
    <t xml:space="preserve">СБЦ "Инженерно-гидрографические работы. Инженерно-гидрометеорологические изыскания на реках (2001)" табл.48 п.5-4
(СБЦ104-48-5-4) </t>
  </si>
  <si>
    <t xml:space="preserve">Отбор суммарной пробы воды в двух точках для определения гранулометрического состава взвешенных наносов, ширина реки: свыше 300 до 600 м, 2(1 проба) </t>
  </si>
  <si>
    <t xml:space="preserve">СБЦ "Инженерно-гидрографические работы. Инженерно-гидрометеорологические изыскания на реках (2001)" табл.48 п.6-4
(СБЦ104-48-6-4) </t>
  </si>
  <si>
    <t xml:space="preserve">Отбор проб донных отложений, ширина реки: свыше 300 до 600 м, 2(1 проба) </t>
  </si>
  <si>
    <t xml:space="preserve">СБЦ "Инженерно-гидрографические работы. Инженерно-гидрометеорологические изыскания на реках (2001)" табл.48 п.7-4
(СБЦ104-48-7-4) </t>
  </si>
  <si>
    <t xml:space="preserve">Измерение расхода влекомых наносов, ширина реки: свыше 300 до 600 м, 2(1 расход) </t>
  </si>
  <si>
    <t xml:space="preserve">СБЦ "Инженерно-гидрографические работы. Инженерно-гидрометеорологические изыскания на реках (2001)" табл.48 п.8-4
(СБЦ104-48-8-4) </t>
  </si>
  <si>
    <t xml:space="preserve">Определение гранулометрического состава донных отложений методом обмера, ширина реки: свыше 300 до 600 м, 1(1 определение) </t>
  </si>
  <si>
    <t xml:space="preserve">СБЦ "Инженерно-гидрографические работы. Инженерно-гидрометеорологические изыскания на реках (2001)" табл.48 п.9-4
(СБЦ104-48-9-4) </t>
  </si>
  <si>
    <t xml:space="preserve">Наблюдения на участке деформаций, ширина реки: свыше 300 до 600 м, полевые работы, 1(1 серия) </t>
  </si>
  <si>
    <t xml:space="preserve">СБЦ "Инженерно-гидрографические работы. Инженерно-гидрометеорологические изыскания на реках (2001)" табл.48 п.10-4-1
(СБЦ104-48-10-4-1) </t>
  </si>
  <si>
    <t xml:space="preserve">Наблюдения за накатом волн по наклонной рейке при числе сроков наблюдения в сутки 3, ширина реки: свыше 300 до 600 м, 1(1 сутки) </t>
  </si>
  <si>
    <t xml:space="preserve">СБЦ "Инженерно-гидрографические работы. Инженерно-гидрометеорологические изыскания на реках (2001)" табл.48 п.11-4
(СБЦ104-48-11-4) </t>
  </si>
  <si>
    <t xml:space="preserve">Фотоработы, ширина реки: свыше 300 до 600 м, 10(1 снимок) </t>
  </si>
  <si>
    <t xml:space="preserve">СБЦ "Инженерно-гидрографические работы. Инженерно-гидрометеорологические изыскания на реках (2001)" табл.48 п.15-4
(СБЦ104-48-15-4) </t>
  </si>
  <si>
    <t xml:space="preserve">Наблюдения за температурой воды с повышенной точностью, ширина реки: свыше 300 до 600 м, полевые работы, 10(1 день наблюдений) </t>
  </si>
  <si>
    <t xml:space="preserve">СБЦ "Инженерно-гидрографические работы. Инженерно-гидрометеорологические изыскания на реках (2001)" табл.49 п.6-4-1
(СБЦ104-49-6-4-1) </t>
  </si>
  <si>
    <t>Раздел 2. Камеральные работы</t>
  </si>
  <si>
    <t xml:space="preserve">Подбор станций или постов с оценкой качества материалов наблюдений и степени их репрезентативности, 1(1 годостанция) </t>
  </si>
  <si>
    <t xml:space="preserve">СБЦ "Инженерно-гидрографические работы. Инженерно-гидрометеорологические изыскания на реках (2001)" табл.67 п.1
(СБЦ104-67-1) </t>
  </si>
  <si>
    <t>0,09*1
A*X</t>
  </si>
  <si>
    <t xml:space="preserve">Рекогносцировочное обследование бассейна реки: категория сложности 1, камеральные работы, 1(1 км маршрута) </t>
  </si>
  <si>
    <t xml:space="preserve">СБЦ "Инженерно-гидрографические работы. Инженерно-гидрометеорологические изыскания на реках (2001)" табл.43 п.2-1-2
(СБЦ104-43-2-1-2) </t>
  </si>
  <si>
    <t>0,006*1
A*X</t>
  </si>
  <si>
    <t xml:space="preserve">Давление воздуха (среднемесячное), 1(1 годостанция) </t>
  </si>
  <si>
    <t xml:space="preserve">СБЦ "Инженерно-гидрографические работы. Инженерно-гидрометеорологические изыскания на реках (2001)" табл.67 п.2
(СБЦ104-67-2) </t>
  </si>
  <si>
    <t>0,001*1
A*X</t>
  </si>
  <si>
    <t xml:space="preserve">Определение скорости и направления течения, ширина реки: свыше 300 до 600 м, камеральные работы, 1(1 профиль (1 серия)) </t>
  </si>
  <si>
    <t xml:space="preserve">СБЦ "Инженерно-гидрографические работы. Инженерно-гидрометеорологические изыскания на реках (2001)" табл.48 п.2-4-2
(СБЦ104-48-2-4-2) </t>
  </si>
  <si>
    <t>0,063*1
A*X</t>
  </si>
  <si>
    <t xml:space="preserve">Измерение расхода воды детальным методом, ширина реки: свыше 300 до 600 м, камеральные работы, 1(1 расход) </t>
  </si>
  <si>
    <t xml:space="preserve">СБЦ "Инженерно-гидрографические работы. Инженерно-гидрометеорологические изыскания на реках (2001)" табл.48 п.1-4-2
(СБЦ104-48-1-4-2) </t>
  </si>
  <si>
    <t>0,062*1
A*X</t>
  </si>
  <si>
    <t xml:space="preserve">Рекогносцировочное обследование реки: категория сложности 1, камеральные работы, 1(1 км реки) </t>
  </si>
  <si>
    <t xml:space="preserve">СБЦ "Инженерно-гидрографические работы. Инженерно-гидрометеорологические изыскания на реках (2001)" табл.43 п.1-1-2
(СБЦ104-43-1-1-2) </t>
  </si>
  <si>
    <t>0,008*1
A*X</t>
  </si>
  <si>
    <t xml:space="preserve">Систематизация материалов гидрологических наблюдений: ежедневных (уровней, расходов, мутности, температуры воды и др.), 5(1 годопункт по 1 показателю) </t>
  </si>
  <si>
    <t xml:space="preserve">СБЦ "Инженерно-гидрографические работы. Инженерно-гидрометеорологические изыскания на реках (2001)" табл.50 п.1
(СБЦ104-50-1) </t>
  </si>
  <si>
    <t>0,01*5
A*X</t>
  </si>
  <si>
    <t xml:space="preserve">Систематизация материалов гидрологических наблюдений: измеренных расходов (воды, взвешенных и влекомых наносов, льда и шуги), 5(1 годопункт по 1 показателю) </t>
  </si>
  <si>
    <t xml:space="preserve">СБЦ "Инженерно-гидрографические работы. Инженерно-гидрометеорологические изыскания на реках (2001)" табл.50 п.3
(СБЦ104-50-3) </t>
  </si>
  <si>
    <t>0,0048*5
A*X</t>
  </si>
  <si>
    <t xml:space="preserve">Систематизация материалов гидрологических наблюдений: средних декадных и средних месячных расходов наносов, 1(1 годопункт по 1 показателю) </t>
  </si>
  <si>
    <t xml:space="preserve">СБЦ "Инженерно-гидрографические работы. Инженерно-гидрометеорологические изыскания на реках (2001)" табл.50 п.2
(СБЦ104-50-2) </t>
  </si>
  <si>
    <t>0,0083*1
A*X</t>
  </si>
  <si>
    <t xml:space="preserve">Систематизация материалов гидрологических наблюдений: данных о гранулометрическом составе наносов и результатов химических и бактериологических анализов воды, 5(1 анализ) </t>
  </si>
  <si>
    <t xml:space="preserve">СБЦ "Инженерно-гидрографические работы. Инженерно-гидрометеорологические изыскания на реках (2001)" табл.50 п.5
(СБЦ104-50-5) </t>
  </si>
  <si>
    <t>0,001*5
A*X</t>
  </si>
  <si>
    <t xml:space="preserve">Составление таблицы гидрологической изученности бассейна реки при числе пунктов наблюдений: до 50, 1(1 таблица) </t>
  </si>
  <si>
    <t xml:space="preserve">СБЦ "Инженерно-гидрографические работы. Инженерно-гидрометеорологические изыскания на реках (2001)" табл.51 п.1
(СБЦ104-51-1) </t>
  </si>
  <si>
    <t>0,105*1
A*X</t>
  </si>
  <si>
    <t xml:space="preserve">Анализ результатов водомерных наблюдений, 1(1 годопункт) </t>
  </si>
  <si>
    <t xml:space="preserve">СБЦ "Инженерно-гидрографические работы. Инженерно-гидрометеорологические изыскания на реках (2001)" табл.54 п.1
(СБЦ104-54-1) </t>
  </si>
  <si>
    <t>0,021*1
A*X</t>
  </si>
  <si>
    <t xml:space="preserve">Составление схемы гидрометеорологической изученности бассейна реки при числе пунктов наблюдений: до 50, 1(1 схема) </t>
  </si>
  <si>
    <t xml:space="preserve">СБЦ "Инженерно-гидрографические работы. Инженерно-гидрометеорологические изыскания на реках (2001)" табл.51 п.3
(СБЦ104-51-3) </t>
  </si>
  <si>
    <t>0,061*1
A*X</t>
  </si>
  <si>
    <t xml:space="preserve">Ветер - месячные данные, 1(1 годостанция) </t>
  </si>
  <si>
    <t xml:space="preserve">СБЦ "Инженерно-гидрографические работы. Инженерно-гидрометеорологические изыскания на реках (2001)" табл.67 п.9
(СБЦ104-67-9) </t>
  </si>
  <si>
    <t>0,007*1
A*X</t>
  </si>
  <si>
    <t xml:space="preserve">Ветер - ежедневные по срокам, 1(1 годостанция) </t>
  </si>
  <si>
    <t xml:space="preserve">СБЦ "Инженерно-гидрографические работы. Инженерно-гидрометеорологические изыскания на реках (2001)" табл.67 п.10
(СБЦ104-67-10) </t>
  </si>
  <si>
    <t>0,039*1
A*X</t>
  </si>
  <si>
    <t xml:space="preserve">Осадки - месячные данные, 1(1 годостанция) </t>
  </si>
  <si>
    <t xml:space="preserve">СБЦ "Инженерно-гидрографические работы. Инженерно-гидрометеорологические изыскания на реках (2001)" табл.67 п.12
(СБЦ104-67-12) </t>
  </si>
  <si>
    <t>0,0017*1
A*X</t>
  </si>
  <si>
    <t xml:space="preserve">Осадки - ежедневные данные, 1(1 годостанция) </t>
  </si>
  <si>
    <t xml:space="preserve">СБЦ "Инженерно-гидрографические работы. Инженерно-гидрометеорологические изыскания на реках (2001)" табл.67 п.13
(СБЦ104-67-13) </t>
  </si>
  <si>
    <t>0,0067*1
A*X</t>
  </si>
  <si>
    <t xml:space="preserve">Средняя месячная температура воздуха, 1(1 годостанция) </t>
  </si>
  <si>
    <t xml:space="preserve">СБЦ "Инженерно-гидрографические работы. Инженерно-гидрометеорологические изыскания на реках (2001)" табл.67 п.3
(СБЦ104-67-3) </t>
  </si>
  <si>
    <t xml:space="preserve">Ежедневная температура воздуха по срокам, 1(1 годостанция) </t>
  </si>
  <si>
    <t xml:space="preserve">СБЦ "Инженерно-гидрографические работы. Инженерно-гидрометеорологические изыскания на реках (2001)" табл.67 п.4
(СБЦ104-67-4) </t>
  </si>
  <si>
    <t>0,03*1
A*X</t>
  </si>
  <si>
    <t xml:space="preserve">Атмосферные явления (число дней с одним атмосферным явлением) с вычислением среднего числа дней по месяцам и за год, 1(1 годостанция) </t>
  </si>
  <si>
    <t xml:space="preserve">СБЦ "Инженерно-гидрографические работы. Инженерно-гидрометеорологические изыскания на реках (2001)" табл.67 п.17
(СБЦ104-67-17) </t>
  </si>
  <si>
    <t xml:space="preserve">Производство метеорологических расчетов: Суточные амплитуды температуры воздуха, 20 годостанций, 1(1 расчет) </t>
  </si>
  <si>
    <t xml:space="preserve">СБЦ "Инженерно-гидрографические работы. Инженерно-гидрометеорологические изыскания на реках (2001)" табл.68 п.4
(СБЦ104-68-4) </t>
  </si>
  <si>
    <t>0,154*1
A*X</t>
  </si>
  <si>
    <t xml:space="preserve">Производство метеорологических расчетов: Число переходов температуры воздуха через 0 град.С, 20 годостанций, 1(1 расчет) </t>
  </si>
  <si>
    <t xml:space="preserve">СБЦ "Инженерно-гидрографические работы. Инженерно-гидрометеорологические изыскания на реках (2001)" табл.68 п.5
(СБЦ104-68-5) </t>
  </si>
  <si>
    <t>0,079*1
A*X</t>
  </si>
  <si>
    <t xml:space="preserve">Производство метеорологических расчетов: Среднее и наибольшее число дней подряд со средней суточной температурой воздуха выше +20 и ниже минус 20 град.С, 20 годостанций, 1(1 расчет) </t>
  </si>
  <si>
    <t xml:space="preserve">СБЦ "Инженерно-гидрографические работы. Инженерно-гидрометеорологические изыскания на реках (2001)" табл.68 п.6
(СБЦ104-68-6) </t>
  </si>
  <si>
    <t>0,071*1
A*X</t>
  </si>
  <si>
    <t xml:space="preserve">Производство метеорологических расчетов: Слой осадков одинаковой обеспеченности за различные интервалы времени, 20 годостанций, 1(1 расчет) </t>
  </si>
  <si>
    <t xml:space="preserve">СБЦ "Инженерно-гидрографические работы. Инженерно-гидрометеорологические изыскания на реках (2001)" табл.68 п.10
(СБЦ104-68-10) </t>
  </si>
  <si>
    <t xml:space="preserve">Производство метеорологических расчетов: Расчет обеспеченности, повторяемости и продолжительности ветра по градациям скорости и направлений, 10 годостанций, 1(1 расчет) </t>
  </si>
  <si>
    <t xml:space="preserve">СБЦ "Инженерно-гидрографические работы. Инженерно-гидрометеорологические изыскания на реках (2001)" табл.68 п.12
(СБЦ104-68-12) </t>
  </si>
  <si>
    <t>0,28*1
A*X</t>
  </si>
  <si>
    <t xml:space="preserve">Производство метеорологических расчетов: Определение комплексных характеристик климата, 10 годостанций, 1(1 расчет) </t>
  </si>
  <si>
    <t xml:space="preserve">СБЦ "Инженерно-гидрографические работы. Инженерно-гидрометеорологические изыскания на реках (2001)" табл.68 п.23
(СБЦ104-68-23) </t>
  </si>
  <si>
    <t>0,331*1
A*X</t>
  </si>
  <si>
    <t xml:space="preserve">Составление климатической характеристики района изысканий при числе метеорологических станций 1, число годостанций: до 50, 1(1 записка) </t>
  </si>
  <si>
    <t xml:space="preserve">СБЦ "Инженерно-гидрографические работы. Инженерно-гидрометеорологические изыскания на реках (2001)" табл.69 п.1-1
(СБЦ104-69-1-1) </t>
  </si>
  <si>
    <t>0,201*1
A*X*к,                                    к=0,5 (прим.3)</t>
  </si>
  <si>
    <t>Раздел 3. Составление программы и отчета</t>
  </si>
  <si>
    <t xml:space="preserve">Составление технического отчета (в % от стоимости камеральных работ), стоимость камеральных работ св. 500 до 1000 руб.: степень гидрометеорологической изученности территории - изученная - 60%, 1(1 отчет) </t>
  </si>
  <si>
    <t xml:space="preserve">СБЦ "Инженерно-гидрографические работы. Инженерно-гидрометеорологические изыскания на реках (2001)" табл.62 п.2-1
(СБЦ104-62-2-1) </t>
  </si>
  <si>
    <t>0,474*1
A*X</t>
  </si>
  <si>
    <t>Итоги по смете:</t>
  </si>
  <si>
    <t xml:space="preserve">   ВСЕГО по смете</t>
  </si>
  <si>
    <t>УТВЕРЖАЮ:</t>
  </si>
  <si>
    <t>________________ И.Г.Афанасьев</t>
  </si>
  <si>
    <t>________________ В.В.Янышевский</t>
  </si>
  <si>
    <t>Генеральный директор</t>
  </si>
  <si>
    <t>Всего</t>
  </si>
  <si>
    <t>ОВОС</t>
  </si>
  <si>
    <t>Технический директор УТС</t>
  </si>
  <si>
    <t>Н-И ТЭЦ ПАО "Иркутскэнерго"</t>
  </si>
  <si>
    <t>___________ В.В.Янышевский</t>
  </si>
  <si>
    <t>"____" ___________ 2018 г.</t>
  </si>
  <si>
    <t>Расчет стоимости выполнения работ</t>
  </si>
  <si>
    <t>Археологическое обследование на площадке  ПНС "Правобережная"</t>
  </si>
  <si>
    <t>СНАИНИР-93 (550 руб. - стоимость человеко/дня)</t>
  </si>
  <si>
    <t>I. Предварительные научно-исследовательские работы</t>
  </si>
  <si>
    <t>№</t>
  </si>
  <si>
    <t>Наименование работ</t>
  </si>
  <si>
    <t>Таблица</t>
  </si>
  <si>
    <t>Норма времени</t>
  </si>
  <si>
    <t>Объем</t>
  </si>
  <si>
    <t>т/затраты</t>
  </si>
  <si>
    <t>Предварительные работы, III кат. ( архивно-библиографическое   изыскания с составлением краткой справки), площадь до 1 га</t>
  </si>
  <si>
    <t>т.1 (объект)</t>
  </si>
  <si>
    <t>Стоимость чел.дня</t>
  </si>
  <si>
    <t xml:space="preserve">                             Начисления на з/п </t>
  </si>
  <si>
    <t>II. Полевые научно-исследовательские работы</t>
  </si>
  <si>
    <t>Предварительное обследование ( I кат.)</t>
  </si>
  <si>
    <t xml:space="preserve">т.3 (объект) </t>
  </si>
  <si>
    <t>Копка грунта ( II кат.)</t>
  </si>
  <si>
    <t>т.21 (м/куб)</t>
  </si>
  <si>
    <t>Раскрытие шурфа  ( I кат.)</t>
  </si>
  <si>
    <t xml:space="preserve">т.4 (кв.м.) </t>
  </si>
  <si>
    <t>Засыпка грунта</t>
  </si>
  <si>
    <t>т.22 (м/куб)</t>
  </si>
  <si>
    <t>Фотофиксация ( 1 норма)</t>
  </si>
  <si>
    <t>т.18 (10 нег.)</t>
  </si>
  <si>
    <t>Всего:</t>
  </si>
  <si>
    <t>III. Камеральные научно-исследовательские работы</t>
  </si>
  <si>
    <t>Подготовка и выдача Технического отчета</t>
  </si>
  <si>
    <t>т.14 (п/л.)</t>
  </si>
  <si>
    <t>Составление альбома фотоиллюстраций  ( до 25  шт.)</t>
  </si>
  <si>
    <t>т.15 (альбом)</t>
  </si>
  <si>
    <t>Рабочие схемы, маршрутные карты, планы памятника</t>
  </si>
  <si>
    <t>т.13 (форматка)</t>
  </si>
  <si>
    <t>Стратиграфические планы и схемы шурфа</t>
  </si>
  <si>
    <t>Планы шурфов  (послойные планы)</t>
  </si>
  <si>
    <t>Научно - методическое руководство</t>
  </si>
  <si>
    <t xml:space="preserve">Всего </t>
  </si>
  <si>
    <t>пп. I, II, III</t>
  </si>
  <si>
    <t>15% накладные расходы</t>
  </si>
  <si>
    <t>Итого</t>
  </si>
  <si>
    <t>10% расчетная прибыль</t>
  </si>
  <si>
    <t>IV. Экспедиционные и прочие расходы</t>
  </si>
  <si>
    <t>кол-во</t>
  </si>
  <si>
    <t>дней</t>
  </si>
  <si>
    <t>руб</t>
  </si>
  <si>
    <t>итого</t>
  </si>
  <si>
    <r>
      <t xml:space="preserve">Материалы и оборудование </t>
    </r>
    <r>
      <rPr>
        <i/>
        <sz val="7"/>
        <rFont val="Times New Roman"/>
        <family val="1"/>
        <charset val="204"/>
      </rPr>
      <t>(до 5% от стоимости полевых и камеральных работ. Метод. Указания к определению стоимости археол. Исследов. ИА РАН Москва)</t>
    </r>
  </si>
  <si>
    <r>
      <t xml:space="preserve">Услуги сторонних организаций </t>
    </r>
    <r>
      <rPr>
        <i/>
        <sz val="7"/>
        <rFont val="Times New Roman"/>
        <family val="1"/>
        <charset val="204"/>
      </rPr>
      <t>(до 5% от стоимости полевых и камеральных работ. М Исследов. ИА РАН Москва)</t>
    </r>
  </si>
  <si>
    <t>Аренда автотранспорта</t>
  </si>
  <si>
    <t>"____"_____________ 2019  г.</t>
  </si>
  <si>
    <t>Смета № 2</t>
  </si>
  <si>
    <t>"____"____________ 2019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</si>
  <si>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</si>
  <si>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</si>
  <si>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</si>
  <si>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</si>
  <si>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</si>
  <si>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/>
  </si>
  <si>
    <t>Коэффициенты</t>
  </si>
  <si>
    <t>Стадия: Проектная документация</t>
  </si>
  <si>
    <t>Коэфф.перехода в тек.цены</t>
  </si>
  <si>
    <t>Ктек = 1</t>
  </si>
  <si>
    <t>Разделы документации</t>
  </si>
  <si>
    <t>Итого по смете:</t>
  </si>
  <si>
    <t>Всего по смете:</t>
  </si>
  <si>
    <t>Корректировка рабочей документации по объекту:
 «Реконструкция теплосети от ТК-161 до РК «Кировская»</t>
  </si>
  <si>
    <t>(0,024*1)
(A*X)</t>
  </si>
  <si>
    <t>(0,018*1)
(A*X)</t>
  </si>
  <si>
    <t>(0,113*1)
(A*X)</t>
  </si>
  <si>
    <t>(0,248*1)
(A*X)</t>
  </si>
  <si>
    <t>(0,283*1)
(A*X)</t>
  </si>
  <si>
    <t>(0,284*1)
(A*X)</t>
  </si>
  <si>
    <t>(0,035*1)
(A*X)</t>
  </si>
  <si>
    <t>(0,155*1)
(A*X)</t>
  </si>
  <si>
    <t>(0,015*1)
(A*X)</t>
  </si>
  <si>
    <t>(0,032*1)
(A*X)</t>
  </si>
  <si>
    <t>(0,008*2)
(A*X)</t>
  </si>
  <si>
    <t>(0,136*2)
(A*X)</t>
  </si>
  <si>
    <t>(0,008*1)
(A*X)</t>
  </si>
  <si>
    <t>(1,518*1)
(A*X)</t>
  </si>
  <si>
    <t>(0,038*1)
(A*X)</t>
  </si>
  <si>
    <t>(0,007*10)
(A*X)</t>
  </si>
  <si>
    <t>(0,023*10)
(A*X)</t>
  </si>
  <si>
    <t>Выполнение изысканий в южных районах Иркутской области, Красноярского края и Дальнего Востока, в Архангельской и Читинской областях, Республика Бурятия (ОУ п. 8 д,е)</t>
  </si>
  <si>
    <t xml:space="preserve"> Индекс на I квартал 2018 года на изыскательские работы к уровню цен на 01.01.1991 (Письмо №7581-ЯВ/09 от 05.03.2019)</t>
  </si>
  <si>
    <t>Стоимость работ,
руб.</t>
  </si>
  <si>
    <t>Разработка проектной и рабочей документации по объекту: 
 «VI коллектор», кадастровый номер 38:36:000000:5515 («Тепловые сети 6 коллектора от ТК-32Е до ТК-44Е, до МК Топкинский», инв. №22130497). Реконструкция участка тепловой сети от ТК-42Е до ТК-44Е»</t>
  </si>
  <si>
    <t>Письмо Минстроя России от 04.10.2019 №37341-ДВ/09</t>
  </si>
  <si>
    <t>«Адепт: Проект в 11.10»
© ООО «Адепт»</t>
  </si>
  <si>
    <t>форма №2П
от 25.11.2019г
к Договору  от 25.11.2019 г.</t>
  </si>
  <si>
    <t>СОГЛАСОВАНО</t>
  </si>
  <si>
    <t>Генеральный директор ООО "ИркутскЭнергоПроект" __________________________ И.Г. Афанасьев</t>
  </si>
  <si>
    <t>Проект планировки территории</t>
  </si>
  <si>
    <t>Коэф - т 1.221 от п.2</t>
  </si>
  <si>
    <t>Индекс на III квартал 2019 года на проектные работы к уровню цен 01.01.2001</t>
  </si>
  <si>
    <t>Коэф - т 4.21 от п.3</t>
  </si>
  <si>
    <t>Всего по смете (руб.):</t>
  </si>
  <si>
    <t>Главный инженер ООО "ИркутскЭнергоПроект" _________________________В.В. Скородумов</t>
  </si>
  <si>
    <t>Составил:</t>
  </si>
  <si>
    <t>Руководитель бюро ГИП ООО "ИркутскЭнергоПроект" _________________________Н.Б. Пуховская</t>
  </si>
  <si>
    <t xml:space="preserve">  _________________________</t>
  </si>
  <si>
    <t>Смета №18</t>
  </si>
  <si>
    <t>Проект межевания территории</t>
  </si>
  <si>
    <t>Перечень меропроиятий по гражданской обороне, мерорприятия по предупреждению чрезвычайных ситуаций природного и техногенного характера</t>
  </si>
  <si>
    <t>Разработка раздела "ИТМ ГОЧС"</t>
  </si>
  <si>
    <t>Инженерно-технические мероприятия гражданской обороны. Мероприятия по предупреждению чрезвычайных ситуаций. Защитные сооружения гражданской обороны и другие специальные сооружения. 2006 г. Глава 1. Инженерно-технические мероприятия гражданской обороны. Мероприятия по предупреждению черезвычайных ситуаций проектов строительства объектов без защитных сооружений гражданской обороны и других специальных сооружений, п.1
A=30.5 тыс.руб; 
Осн. показ. Х=1 (1 объект) 
Количество = 1 (1 объект)</t>
  </si>
  <si>
    <t>Кст = 1</t>
  </si>
  <si>
    <t>Коэффициент, учитывающий суммарное количество источников возможных ЧС (природных и техногенных) - 1 (Кис)</t>
  </si>
  <si>
    <t>K1 = 0.88
гл.1, таб.1 (Ценообразующий)</t>
  </si>
  <si>
    <t>Коэффициент, учитывающий однотипность решений по предупреждению ЧС для различных источников ЧС с одинаковыми поражающими факторами, для количества источников ЧС с одинаковыми поражающими факторами - 2 (Кпф)</t>
  </si>
  <si>
    <t>K2 = 0.9
гл.1, таб.4 (Ценообразующий)</t>
  </si>
  <si>
    <t>1. Полный комплекс работ</t>
  </si>
  <si>
    <t>районный коэффициент</t>
  </si>
  <si>
    <t>Полный комплекс работ
(100%):
A * Количество * Кст * Ктек * K1 * K2
30500 руб * 1 * 1 * 1 * 0.88 * 0.9*0,5</t>
  </si>
  <si>
    <t>62 085 (Шестьдесят двe тысячи восемьдесят пять рублей, 00 копеек)</t>
  </si>
  <si>
    <t>Подготовка материалов к публичным слушаниям, публикации в СМИ, проведение публичных слушаний по ОВОС ( согласно Приказа Госкомэкологии от 16.05.2000 г. № 372)*-этапы проведения оценки воздействия на окружающую среду</t>
  </si>
  <si>
    <t>КАЛЕНДАРНЫЙ ПЛАН ВЫПОЛНЕНИЯ РАБОТ</t>
  </si>
  <si>
    <t>№ этапа   п/п</t>
  </si>
  <si>
    <t>Наименование работ по договору и этапов его выполнения</t>
  </si>
  <si>
    <t>Стоимость, руб. без НДС</t>
  </si>
  <si>
    <t>Сроки</t>
  </si>
  <si>
    <t>Начало работ</t>
  </si>
  <si>
    <t>Окончание работ</t>
  </si>
  <si>
    <t>*   затраты на проведение Экспертизы ПД и ИИ, Государственной экологической экспертизы, публикацию в СМИ  оплачивать «Подрядчику» по фактически понесенным затратам, на основании подтверждающих документов.</t>
  </si>
  <si>
    <t>"____"_____________ 2020г.</t>
  </si>
  <si>
    <t>Тепловая сеть DN350. Рабочая документация. Строительные решения</t>
  </si>
  <si>
    <t>Тепловая сеть DN350. Рабочая документация. Тепломеханические решения</t>
  </si>
  <si>
    <t>с даты подписания договора</t>
  </si>
  <si>
    <t xml:space="preserve">Тепловая сеть DN350. Проектная документация. </t>
  </si>
  <si>
    <t xml:space="preserve"> Начальник ПТО УТС НИ-ТЭЦ</t>
  </si>
  <si>
    <t>Приложение № __ к договору № 210-500-06ПР-2020 от "___"________ 20__ г.</t>
  </si>
  <si>
    <t xml:space="preserve">Заместитель директора-технический директор УТС </t>
  </si>
  <si>
    <t>Ново-Иркутская ТЭЦ ООО "Байкальская энергетическая компания"</t>
  </si>
  <si>
    <t>"____"_____________ 2021  г.</t>
  </si>
  <si>
    <t>Заместитель директора-технический  директор  УТС НИТЭЦ ООО "Байкальская энергетическая компания"</t>
  </si>
  <si>
    <t>________________ И.Г. Афанасьев</t>
  </si>
  <si>
    <t>"____"_____________ 2021 г.</t>
  </si>
  <si>
    <t>Разработка проектной и рабочей документации на строительство объекта:</t>
  </si>
  <si>
    <t>Приложение № 9   к договору №210-500-08ПР-2021 от "____"________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</si>
</sst>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;[Red]0.00"/>
    <numFmt numFmtId="166" formatCode="0.0"/>
    <numFmt numFmtId="167" formatCode="0.000"/>
    <numFmt numFmtId="169" formatCode="#,##0&quot;р.&quot;"/>
    <numFmt numFmtId="170" formatCode="_-* #,##0&quot;р.&quot;_-;\-* #,##0&quot;р.&quot;_-;_-* &quot;-&quot;&quot;р.&quot;_-;_-@_-"/>
    <numFmt numFmtId="171" formatCode="#,##0.0000_ ;\-#,##0.0000\ "/>
    <numFmt numFmtId="172" formatCode="#,##0_ ;\-#,##0\ "/>
  </numFmts>
  <fonts count="42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9"/>
      <name val="Arial Cyr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11"/>
      <name val="Arial Cyr"/>
      <charset val="204"/>
    </font>
    <font>
      <i/>
      <sz val="7"/>
      <name val="Times New Roman"/>
      <family val="1"/>
      <charset val="204"/>
    </font>
    <font>
      <sz val="10"/>
      <color indexed="8"/>
      <name val="Arial"/>
      <family val="2"/>
    </font>
    <font>
      <sz val="8"/>
      <name val="Arial"/>
      <family val="2"/>
      <charset val="204"/>
    </font>
    <font>
      <sz val="6"/>
      <name val="Arial"/>
      <family val="2"/>
      <charset val="204"/>
    </font>
    <font>
      <u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2" fillId="0" borderId="0"/>
    <xf numFmtId="0" fontId="6" fillId="0" borderId="0">
      <alignment horizontal="center"/>
    </xf>
    <xf numFmtId="0" fontId="6" fillId="0" borderId="2">
      <alignment horizontal="center" wrapText="1"/>
    </xf>
    <xf numFmtId="0" fontId="6" fillId="0" borderId="0">
      <alignment horizontal="right" vertical="top" wrapText="1"/>
    </xf>
    <xf numFmtId="0" fontId="20" fillId="0" borderId="0" applyNumberFormat="0" applyFill="0" applyBorder="0" applyAlignment="0" applyProtection="0"/>
    <xf numFmtId="0" fontId="6" fillId="0" borderId="0">
      <alignment horizontal="left" vertical="top"/>
    </xf>
    <xf numFmtId="0" fontId="12" fillId="0" borderId="0"/>
    <xf numFmtId="0" fontId="2" fillId="0" borderId="0"/>
    <xf numFmtId="164" fontId="2" fillId="0" borderId="0" applyFont="0" applyFill="0" applyBorder="0" applyAlignment="0" applyProtection="0"/>
    <xf numFmtId="0" fontId="29" fillId="0" borderId="0"/>
    <xf numFmtId="0" fontId="29" fillId="0" borderId="0"/>
    <xf numFmtId="0" fontId="12" fillId="0" borderId="2" applyBorder="0" applyAlignment="0">
      <alignment horizontal="center" wrapText="1"/>
    </xf>
    <xf numFmtId="0" fontId="29" fillId="0" borderId="0"/>
    <xf numFmtId="0" fontId="29" fillId="0" borderId="0"/>
    <xf numFmtId="0" fontId="2" fillId="0" borderId="0"/>
    <xf numFmtId="44" fontId="29" fillId="0" borderId="0" applyFont="0" applyFill="0" applyBorder="0" applyAlignment="0" applyProtection="0"/>
    <xf numFmtId="0" fontId="12" fillId="0" borderId="0"/>
  </cellStyleXfs>
  <cellXfs count="489">
    <xf numFmtId="0" fontId="0" fillId="0" borderId="0" xfId="0"/>
    <xf numFmtId="0" fontId="1" fillId="0" borderId="0" xfId="0" applyFont="1" applyAlignment="1"/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vertical="center"/>
    </xf>
    <xf numFmtId="0" fontId="1" fillId="0" borderId="0" xfId="0" applyFont="1"/>
    <xf numFmtId="2" fontId="0" fillId="0" borderId="0" xfId="0" applyNumberFormat="1"/>
    <xf numFmtId="0" fontId="10" fillId="0" borderId="0" xfId="0" applyFont="1"/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0" xfId="0" applyFont="1" applyBorder="1"/>
    <xf numFmtId="0" fontId="0" fillId="0" borderId="0" xfId="0" applyBorder="1"/>
    <xf numFmtId="0" fontId="0" fillId="0" borderId="8" xfId="0" applyFont="1" applyBorder="1"/>
    <xf numFmtId="0" fontId="0" fillId="0" borderId="9" xfId="0" applyBorder="1"/>
    <xf numFmtId="0" fontId="0" fillId="0" borderId="7" xfId="0" applyFont="1" applyBorder="1"/>
    <xf numFmtId="0" fontId="0" fillId="0" borderId="0" xfId="0" applyBorder="1" applyAlignment="1"/>
    <xf numFmtId="0" fontId="0" fillId="0" borderId="7" xfId="0" applyBorder="1" applyAlignment="1"/>
    <xf numFmtId="0" fontId="0" fillId="0" borderId="8" xfId="0" applyBorder="1"/>
    <xf numFmtId="0" fontId="0" fillId="0" borderId="2" xfId="0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2" fillId="0" borderId="3" xfId="0" applyFont="1" applyBorder="1"/>
    <xf numFmtId="0" fontId="12" fillId="0" borderId="7" xfId="0" applyFont="1" applyBorder="1" applyAlignment="1">
      <alignment horizontal="center"/>
    </xf>
    <xf numFmtId="0" fontId="12" fillId="0" borderId="0" xfId="0" applyFont="1" applyBorder="1"/>
    <xf numFmtId="0" fontId="12" fillId="0" borderId="8" xfId="0" applyFont="1" applyBorder="1"/>
    <xf numFmtId="0" fontId="12" fillId="0" borderId="9" xfId="0" applyFont="1" applyBorder="1"/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7" xfId="0" applyFont="1" applyBorder="1"/>
    <xf numFmtId="1" fontId="12" fillId="0" borderId="7" xfId="0" applyNumberFormat="1" applyFont="1" applyBorder="1" applyProtection="1">
      <protection locked="0"/>
    </xf>
    <xf numFmtId="0" fontId="12" fillId="0" borderId="13" xfId="0" applyFont="1" applyBorder="1" applyAlignment="1">
      <alignment horizontal="center"/>
    </xf>
    <xf numFmtId="0" fontId="12" fillId="0" borderId="1" xfId="0" applyFont="1" applyBorder="1"/>
    <xf numFmtId="0" fontId="12" fillId="0" borderId="14" xfId="0" applyFont="1" applyBorder="1"/>
    <xf numFmtId="0" fontId="12" fillId="0" borderId="15" xfId="0" applyFont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0" fontId="0" fillId="0" borderId="2" xfId="0" applyBorder="1"/>
    <xf numFmtId="1" fontId="12" fillId="0" borderId="0" xfId="0" applyNumberFormat="1" applyFont="1" applyBorder="1"/>
    <xf numFmtId="0" fontId="12" fillId="0" borderId="16" xfId="0" applyFont="1" applyBorder="1"/>
    <xf numFmtId="2" fontId="12" fillId="0" borderId="0" xfId="0" applyNumberFormat="1" applyFont="1" applyBorder="1" applyAlignment="1">
      <alignment horizontal="center"/>
    </xf>
    <xf numFmtId="1" fontId="12" fillId="0" borderId="7" xfId="0" applyNumberFormat="1" applyFont="1" applyBorder="1"/>
    <xf numFmtId="0" fontId="12" fillId="0" borderId="17" xfId="0" applyFont="1" applyBorder="1"/>
    <xf numFmtId="0" fontId="12" fillId="0" borderId="17" xfId="0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0" fontId="12" fillId="0" borderId="18" xfId="0" applyFont="1" applyBorder="1"/>
    <xf numFmtId="0" fontId="12" fillId="0" borderId="8" xfId="0" applyFont="1" applyFill="1" applyBorder="1"/>
    <xf numFmtId="10" fontId="12" fillId="0" borderId="8" xfId="0" applyNumberFormat="1" applyFont="1" applyBorder="1"/>
    <xf numFmtId="0" fontId="12" fillId="0" borderId="2" xfId="0" applyFont="1" applyBorder="1" applyAlignment="1">
      <alignment horizontal="center"/>
    </xf>
    <xf numFmtId="0" fontId="12" fillId="0" borderId="10" xfId="0" applyFont="1" applyFill="1" applyBorder="1"/>
    <xf numFmtId="0" fontId="12" fillId="0" borderId="10" xfId="0" applyFont="1" applyBorder="1"/>
    <xf numFmtId="0" fontId="12" fillId="0" borderId="11" xfId="0" applyFont="1" applyBorder="1"/>
    <xf numFmtId="0" fontId="12" fillId="0" borderId="12" xfId="0" applyFont="1" applyBorder="1"/>
    <xf numFmtId="2" fontId="12" fillId="0" borderId="10" xfId="0" applyNumberFormat="1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1" fontId="12" fillId="0" borderId="2" xfId="0" applyNumberFormat="1" applyFont="1" applyBorder="1"/>
    <xf numFmtId="165" fontId="12" fillId="0" borderId="10" xfId="0" applyNumberFormat="1" applyFont="1" applyBorder="1" applyAlignment="1">
      <alignment horizontal="center"/>
    </xf>
    <xf numFmtId="10" fontId="14" fillId="2" borderId="10" xfId="0" applyNumberFormat="1" applyFont="1" applyFill="1" applyBorder="1" applyAlignment="1">
      <alignment horizontal="center"/>
    </xf>
    <xf numFmtId="10" fontId="12" fillId="0" borderId="10" xfId="0" applyNumberFormat="1" applyFont="1" applyBorder="1" applyAlignment="1">
      <alignment horizontal="center"/>
    </xf>
    <xf numFmtId="166" fontId="12" fillId="0" borderId="10" xfId="0" applyNumberFormat="1" applyFont="1" applyBorder="1" applyAlignment="1">
      <alignment horizontal="center"/>
    </xf>
    <xf numFmtId="0" fontId="15" fillId="0" borderId="9" xfId="0" applyFont="1" applyBorder="1"/>
    <xf numFmtId="0" fontId="14" fillId="2" borderId="0" xfId="0" applyFont="1" applyFill="1" applyBorder="1" applyAlignment="1">
      <alignment horizontal="center"/>
    </xf>
    <xf numFmtId="0" fontId="15" fillId="0" borderId="15" xfId="0" applyFont="1" applyBorder="1"/>
    <xf numFmtId="0" fontId="14" fillId="2" borderId="1" xfId="0" applyFont="1" applyFill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" fontId="12" fillId="0" borderId="13" xfId="0" applyNumberFormat="1" applyFont="1" applyBorder="1"/>
    <xf numFmtId="9" fontId="12" fillId="0" borderId="11" xfId="0" applyNumberFormat="1" applyFont="1" applyBorder="1" applyAlignment="1">
      <alignment horizontal="center"/>
    </xf>
    <xf numFmtId="1" fontId="12" fillId="0" borderId="10" xfId="0" applyNumberFormat="1" applyFont="1" applyBorder="1"/>
    <xf numFmtId="0" fontId="0" fillId="0" borderId="10" xfId="0" applyBorder="1"/>
    <xf numFmtId="0" fontId="12" fillId="0" borderId="12" xfId="0" applyFont="1" applyBorder="1" applyAlignment="1">
      <alignment horizontal="center"/>
    </xf>
    <xf numFmtId="3" fontId="12" fillId="0" borderId="2" xfId="0" applyNumberFormat="1" applyFont="1" applyBorder="1"/>
    <xf numFmtId="0" fontId="10" fillId="0" borderId="11" xfId="0" applyFont="1" applyFill="1" applyBorder="1"/>
    <xf numFmtId="0" fontId="10" fillId="0" borderId="10" xfId="0" applyFont="1" applyBorder="1"/>
    <xf numFmtId="0" fontId="10" fillId="0" borderId="12" xfId="0" applyFont="1" applyBorder="1"/>
    <xf numFmtId="0" fontId="10" fillId="0" borderId="11" xfId="0" applyFont="1" applyBorder="1"/>
    <xf numFmtId="2" fontId="10" fillId="0" borderId="11" xfId="0" applyNumberFormat="1" applyFont="1" applyBorder="1" applyAlignment="1">
      <alignment horizontal="center"/>
    </xf>
    <xf numFmtId="1" fontId="10" fillId="0" borderId="10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10" fillId="2" borderId="2" xfId="0" applyNumberFormat="1" applyFont="1" applyFill="1" applyBorder="1"/>
    <xf numFmtId="9" fontId="10" fillId="0" borderId="10" xfId="0" applyNumberFormat="1" applyFont="1" applyBorder="1" applyAlignment="1">
      <alignment horizontal="center"/>
    </xf>
    <xf numFmtId="4" fontId="10" fillId="0" borderId="2" xfId="0" applyNumberFormat="1" applyFont="1" applyBorder="1"/>
    <xf numFmtId="4" fontId="10" fillId="0" borderId="2" xfId="0" applyNumberFormat="1" applyFont="1" applyFill="1" applyBorder="1"/>
    <xf numFmtId="0" fontId="16" fillId="0" borderId="0" xfId="0" applyFo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0" fillId="0" borderId="0" xfId="5"/>
    <xf numFmtId="0" fontId="21" fillId="0" borderId="0" xfId="0" applyFont="1"/>
    <xf numFmtId="0" fontId="22" fillId="0" borderId="0" xfId="0" applyFont="1" applyAlignment="1">
      <alignment horizontal="left" indent="3"/>
    </xf>
    <xf numFmtId="0" fontId="3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top" wrapText="1"/>
    </xf>
    <xf numFmtId="167" fontId="6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11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3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left" vertical="top"/>
    </xf>
    <xf numFmtId="0" fontId="6" fillId="0" borderId="4" xfId="0" applyFont="1" applyBorder="1"/>
    <xf numFmtId="0" fontId="6" fillId="0" borderId="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lef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left" vertical="top"/>
    </xf>
    <xf numFmtId="0" fontId="6" fillId="0" borderId="10" xfId="0" applyFont="1" applyBorder="1"/>
    <xf numFmtId="0" fontId="6" fillId="0" borderId="12" xfId="0" applyFont="1" applyBorder="1" applyAlignment="1">
      <alignment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/>
    <xf numFmtId="0" fontId="6" fillId="0" borderId="0" xfId="0" applyFont="1" applyFill="1" applyBorder="1" applyAlignment="1">
      <alignment horizontal="center" vertical="top" wrapText="1"/>
    </xf>
    <xf numFmtId="167" fontId="6" fillId="0" borderId="0" xfId="0" applyNumberFormat="1" applyFont="1" applyBorder="1" applyAlignment="1">
      <alignment horizontal="center" vertical="top" wrapText="1"/>
    </xf>
    <xf numFmtId="0" fontId="9" fillId="0" borderId="0" xfId="0" applyFont="1" applyAlignment="1"/>
    <xf numFmtId="3" fontId="6" fillId="0" borderId="7" xfId="8" applyNumberFormat="1" applyFont="1" applyBorder="1" applyAlignment="1">
      <alignment horizontal="center" vertical="top" wrapText="1"/>
    </xf>
    <xf numFmtId="0" fontId="6" fillId="0" borderId="2" xfId="8" applyFont="1" applyBorder="1" applyAlignment="1">
      <alignment horizontal="center" vertical="top" wrapText="1"/>
    </xf>
    <xf numFmtId="2" fontId="6" fillId="0" borderId="2" xfId="8" applyNumberFormat="1" applyFont="1" applyFill="1" applyBorder="1" applyAlignment="1">
      <alignment horizontal="center" vertical="top" wrapText="1"/>
    </xf>
    <xf numFmtId="167" fontId="6" fillId="0" borderId="2" xfId="8" applyNumberFormat="1" applyFont="1" applyBorder="1" applyAlignment="1">
      <alignment horizontal="center" vertical="top" wrapText="1"/>
    </xf>
    <xf numFmtId="0" fontId="0" fillId="2" borderId="0" xfId="0" applyFill="1"/>
    <xf numFmtId="2" fontId="11" fillId="0" borderId="10" xfId="0" applyNumberFormat="1" applyFont="1" applyBorder="1" applyAlignment="1">
      <alignment horizontal="center"/>
    </xf>
    <xf numFmtId="0" fontId="26" fillId="0" borderId="0" xfId="0" applyFont="1" applyAlignment="1">
      <alignment vertical="center"/>
    </xf>
    <xf numFmtId="3" fontId="26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3" fontId="3" fillId="0" borderId="2" xfId="8" applyNumberFormat="1" applyFont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29" fillId="0" borderId="0" xfId="10"/>
    <xf numFmtId="0" fontId="29" fillId="0" borderId="0" xfId="10" applyAlignment="1"/>
    <xf numFmtId="0" fontId="4" fillId="0" borderId="1" xfId="1" applyFont="1" applyBorder="1" applyAlignment="1">
      <alignment vertical="center"/>
    </xf>
    <xf numFmtId="0" fontId="21" fillId="0" borderId="0" xfId="10" applyFont="1"/>
    <xf numFmtId="0" fontId="17" fillId="0" borderId="0" xfId="0" applyFont="1" applyBorder="1"/>
    <xf numFmtId="0" fontId="18" fillId="0" borderId="0" xfId="0" applyFont="1"/>
    <xf numFmtId="0" fontId="3" fillId="0" borderId="0" xfId="0" applyFont="1" applyBorder="1" applyAlignment="1">
      <alignment vertical="center" wrapText="1"/>
    </xf>
    <xf numFmtId="0" fontId="11" fillId="0" borderId="0" xfId="2" applyFont="1" applyAlignment="1">
      <alignment horizontal="left"/>
    </xf>
    <xf numFmtId="0" fontId="12" fillId="0" borderId="0" xfId="2" applyFont="1" applyBorder="1" applyAlignment="1">
      <alignment horizontal="left" vertical="top" wrapText="1"/>
    </xf>
    <xf numFmtId="0" fontId="12" fillId="0" borderId="0" xfId="11" applyFont="1"/>
    <xf numFmtId="0" fontId="12" fillId="0" borderId="0" xfId="2" applyFont="1" applyBorder="1">
      <alignment horizontal="center"/>
    </xf>
    <xf numFmtId="0" fontId="12" fillId="0" borderId="0" xfId="2" applyFont="1" applyBorder="1" applyAlignment="1">
      <alignment horizontal="right"/>
    </xf>
    <xf numFmtId="0" fontId="31" fillId="0" borderId="2" xfId="11" applyFont="1" applyBorder="1" applyAlignment="1">
      <alignment horizontal="center" vertical="center" wrapText="1"/>
    </xf>
    <xf numFmtId="0" fontId="31" fillId="0" borderId="11" xfId="11" applyFont="1" applyBorder="1" applyAlignment="1">
      <alignment horizontal="center" vertical="center" wrapText="1"/>
    </xf>
    <xf numFmtId="0" fontId="31" fillId="0" borderId="2" xfId="2" applyFont="1" applyBorder="1" applyAlignment="1">
      <alignment horizontal="center" vertical="center" wrapText="1"/>
    </xf>
    <xf numFmtId="0" fontId="12" fillId="0" borderId="19" xfId="12" applyBorder="1">
      <alignment horizontal="center" wrapText="1"/>
    </xf>
    <xf numFmtId="0" fontId="12" fillId="0" borderId="20" xfId="12" applyBorder="1" applyAlignment="1">
      <alignment horizontal="center" wrapText="1"/>
    </xf>
    <xf numFmtId="0" fontId="2" fillId="0" borderId="19" xfId="11" applyFont="1" applyBorder="1" applyAlignment="1">
      <alignment vertical="top" wrapText="1"/>
    </xf>
    <xf numFmtId="0" fontId="12" fillId="0" borderId="19" xfId="6" applyFont="1" applyBorder="1" applyAlignment="1">
      <alignment horizontal="left" vertical="top" wrapText="1"/>
    </xf>
    <xf numFmtId="0" fontId="12" fillId="0" borderId="19" xfId="11" applyFont="1" applyBorder="1" applyAlignment="1">
      <alignment horizontal="center" vertical="top" wrapText="1"/>
    </xf>
    <xf numFmtId="0" fontId="12" fillId="0" borderId="19" xfId="11" applyNumberFormat="1" applyFont="1" applyBorder="1" applyAlignment="1">
      <alignment horizontal="right" vertical="top" wrapText="1"/>
    </xf>
    <xf numFmtId="0" fontId="12" fillId="0" borderId="19" xfId="11" applyFont="1" applyBorder="1" applyAlignment="1">
      <alignment horizontal="left" vertical="top" wrapText="1"/>
    </xf>
    <xf numFmtId="0" fontId="11" fillId="0" borderId="19" xfId="11" applyNumberFormat="1" applyFont="1" applyBorder="1" applyAlignment="1">
      <alignment horizontal="right" vertical="top" wrapText="1"/>
    </xf>
    <xf numFmtId="0" fontId="29" fillId="0" borderId="2" xfId="11" applyFont="1" applyBorder="1" applyAlignment="1">
      <alignment vertical="top" wrapText="1"/>
    </xf>
    <xf numFmtId="0" fontId="2" fillId="0" borderId="2" xfId="11" applyFont="1" applyBorder="1" applyAlignment="1">
      <alignment vertical="top" wrapText="1"/>
    </xf>
    <xf numFmtId="0" fontId="2" fillId="0" borderId="0" xfId="11" applyFont="1" applyAlignment="1">
      <alignment vertical="top" wrapText="1"/>
    </xf>
    <xf numFmtId="0" fontId="12" fillId="0" borderId="0" xfId="11" applyFont="1" applyAlignment="1">
      <alignment horizontal="left" vertical="top" wrapText="1"/>
    </xf>
    <xf numFmtId="0" fontId="12" fillId="0" borderId="0" xfId="6" applyFont="1" applyAlignment="1">
      <alignment horizontal="left" vertical="top" wrapText="1"/>
    </xf>
    <xf numFmtId="0" fontId="12" fillId="0" borderId="0" xfId="11" applyFont="1" applyAlignment="1">
      <alignment horizontal="center" vertical="top" wrapText="1"/>
    </xf>
    <xf numFmtId="0" fontId="12" fillId="0" borderId="0" xfId="11" applyNumberFormat="1" applyFont="1" applyAlignment="1">
      <alignment horizontal="right" vertical="top" wrapText="1"/>
    </xf>
    <xf numFmtId="0" fontId="2" fillId="0" borderId="0" xfId="11" applyFont="1"/>
    <xf numFmtId="0" fontId="31" fillId="0" borderId="0" xfId="6" applyFont="1">
      <alignment horizontal="left" vertical="top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 applyAlignment="1">
      <alignment vertical="center"/>
    </xf>
    <xf numFmtId="0" fontId="0" fillId="0" borderId="0" xfId="0" applyFont="1" applyFill="1"/>
    <xf numFmtId="0" fontId="6" fillId="0" borderId="0" xfId="7" applyFont="1" applyFill="1" applyAlignment="1"/>
    <xf numFmtId="0" fontId="6" fillId="0" borderId="0" xfId="7" applyFont="1" applyFill="1"/>
    <xf numFmtId="0" fontId="26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26" fillId="0" borderId="0" xfId="0" applyFont="1"/>
    <xf numFmtId="0" fontId="5" fillId="0" borderId="0" xfId="0" applyFont="1"/>
    <xf numFmtId="9" fontId="5" fillId="0" borderId="0" xfId="0" applyNumberFormat="1" applyFont="1"/>
    <xf numFmtId="169" fontId="5" fillId="0" borderId="0" xfId="0" applyNumberFormat="1" applyFont="1"/>
    <xf numFmtId="0" fontId="5" fillId="0" borderId="2" xfId="0" applyFont="1" applyBorder="1"/>
    <xf numFmtId="0" fontId="5" fillId="0" borderId="2" xfId="0" applyFont="1" applyBorder="1" applyAlignment="1">
      <alignment horizontal="justify" wrapText="1"/>
    </xf>
    <xf numFmtId="2" fontId="5" fillId="0" borderId="2" xfId="0" applyNumberFormat="1" applyFont="1" applyBorder="1" applyAlignment="1">
      <alignment wrapText="1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/>
    <xf numFmtId="0" fontId="5" fillId="0" borderId="0" xfId="0" applyFont="1" applyBorder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justify" wrapText="1"/>
    </xf>
    <xf numFmtId="2" fontId="5" fillId="0" borderId="0" xfId="0" applyNumberFormat="1" applyFont="1" applyBorder="1"/>
    <xf numFmtId="0" fontId="5" fillId="0" borderId="0" xfId="0" applyFont="1" applyFill="1" applyBorder="1" applyAlignment="1">
      <alignment horizontal="justify" wrapText="1"/>
    </xf>
    <xf numFmtId="0" fontId="5" fillId="0" borderId="0" xfId="0" applyNumberFormat="1" applyFont="1"/>
    <xf numFmtId="170" fontId="5" fillId="0" borderId="0" xfId="0" applyNumberFormat="1" applyFont="1"/>
    <xf numFmtId="10" fontId="5" fillId="0" borderId="0" xfId="0" applyNumberFormat="1" applyFont="1"/>
    <xf numFmtId="170" fontId="8" fillId="0" borderId="0" xfId="0" applyNumberFormat="1" applyFont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right" wrapText="1"/>
    </xf>
    <xf numFmtId="0" fontId="5" fillId="0" borderId="2" xfId="0" applyNumberFormat="1" applyFont="1" applyBorder="1" applyAlignment="1"/>
    <xf numFmtId="0" fontId="5" fillId="0" borderId="2" xfId="0" applyFont="1" applyBorder="1" applyAlignment="1">
      <alignment horizontal="left" wrapText="1"/>
    </xf>
    <xf numFmtId="2" fontId="5" fillId="0" borderId="0" xfId="0" applyNumberFormat="1" applyFont="1" applyBorder="1" applyAlignment="1"/>
    <xf numFmtId="170" fontId="5" fillId="0" borderId="0" xfId="0" applyNumberFormat="1" applyFont="1" applyAlignment="1"/>
    <xf numFmtId="9" fontId="5" fillId="0" borderId="0" xfId="0" applyNumberFormat="1" applyFont="1" applyAlignment="1"/>
    <xf numFmtId="0" fontId="5" fillId="0" borderId="0" xfId="0" applyFont="1" applyAlignment="1"/>
    <xf numFmtId="169" fontId="8" fillId="0" borderId="0" xfId="0" applyNumberFormat="1" applyFont="1" applyAlignment="1"/>
    <xf numFmtId="170" fontId="8" fillId="0" borderId="0" xfId="0" applyNumberFormat="1" applyFont="1" applyAlignment="1"/>
    <xf numFmtId="0" fontId="8" fillId="0" borderId="0" xfId="0" applyFont="1" applyAlignment="1">
      <alignment horizontal="right"/>
    </xf>
    <xf numFmtId="10" fontId="8" fillId="0" borderId="0" xfId="0" applyNumberFormat="1" applyFont="1" applyAlignment="1">
      <alignment horizontal="right"/>
    </xf>
    <xf numFmtId="0" fontId="5" fillId="0" borderId="2" xfId="0" applyFont="1" applyBorder="1" applyAlignment="1">
      <alignment vertical="center"/>
    </xf>
    <xf numFmtId="170" fontId="5" fillId="0" borderId="2" xfId="0" applyNumberFormat="1" applyFont="1" applyBorder="1"/>
    <xf numFmtId="1" fontId="5" fillId="0" borderId="2" xfId="0" applyNumberFormat="1" applyFont="1" applyBorder="1"/>
    <xf numFmtId="0" fontId="28" fillId="0" borderId="0" xfId="0" applyFont="1"/>
    <xf numFmtId="9" fontId="19" fillId="0" borderId="0" xfId="0" applyNumberFormat="1" applyFont="1"/>
    <xf numFmtId="171" fontId="19" fillId="0" borderId="0" xfId="0" applyNumberFormat="1" applyFont="1"/>
    <xf numFmtId="172" fontId="8" fillId="0" borderId="0" xfId="0" applyNumberFormat="1" applyFont="1"/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23" fillId="0" borderId="0" xfId="10" applyFont="1" applyAlignment="1">
      <alignment horizontal="center"/>
    </xf>
    <xf numFmtId="0" fontId="29" fillId="0" borderId="2" xfId="11" applyFont="1" applyBorder="1" applyAlignment="1">
      <alignment vertical="top" wrapText="1"/>
    </xf>
    <xf numFmtId="0" fontId="6" fillId="4" borderId="0" xfId="7" applyFont="1" applyFill="1" applyAlignment="1">
      <alignment vertical="center"/>
    </xf>
    <xf numFmtId="0" fontId="12" fillId="0" borderId="19" xfId="11" applyFont="1" applyBorder="1" applyAlignment="1">
      <alignment horizontal="left" vertical="top" wrapText="1"/>
    </xf>
    <xf numFmtId="1" fontId="12" fillId="0" borderId="19" xfId="11" applyNumberFormat="1" applyFont="1" applyBorder="1" applyAlignment="1">
      <alignment horizontal="right" vertical="top" wrapText="1"/>
    </xf>
    <xf numFmtId="1" fontId="11" fillId="0" borderId="2" xfId="11" applyNumberFormat="1" applyFont="1" applyBorder="1" applyAlignment="1">
      <alignment horizontal="right" vertical="top" wrapText="1"/>
    </xf>
    <xf numFmtId="0" fontId="12" fillId="0" borderId="0" xfId="7"/>
    <xf numFmtId="0" fontId="12" fillId="0" borderId="0" xfId="7" applyNumberFormat="1" applyFont="1" applyAlignment="1">
      <alignment vertical="top" wrapText="1"/>
    </xf>
    <xf numFmtId="0" fontId="12" fillId="0" borderId="0" xfId="7" applyNumberFormat="1" applyFont="1" applyAlignment="1">
      <alignment vertical="top"/>
    </xf>
    <xf numFmtId="0" fontId="12" fillId="0" borderId="23" xfId="7" applyNumberFormat="1" applyFont="1" applyBorder="1" applyAlignment="1">
      <alignment horizontal="center" wrapText="1"/>
    </xf>
    <xf numFmtId="0" fontId="31" fillId="0" borderId="23" xfId="7" applyNumberFormat="1" applyFont="1" applyBorder="1" applyAlignment="1">
      <alignment horizontal="center" vertical="top" wrapText="1"/>
    </xf>
    <xf numFmtId="0" fontId="35" fillId="0" borderId="23" xfId="7" applyNumberFormat="1" applyFont="1" applyBorder="1" applyAlignment="1">
      <alignment horizontal="center" vertical="top" wrapText="1"/>
    </xf>
    <xf numFmtId="49" fontId="12" fillId="0" borderId="23" xfId="7" applyNumberFormat="1" applyFont="1" applyBorder="1" applyAlignment="1">
      <alignment horizontal="center" wrapText="1"/>
    </xf>
    <xf numFmtId="0" fontId="12" fillId="0" borderId="0" xfId="7" applyNumberFormat="1" applyFont="1" applyAlignment="1">
      <alignment horizontal="left" vertical="top" wrapText="1"/>
    </xf>
    <xf numFmtId="0" fontId="12" fillId="0" borderId="0" xfId="7" applyNumberFormat="1" applyFont="1" applyAlignment="1">
      <alignment horizontal="left" wrapText="1"/>
    </xf>
    <xf numFmtId="0" fontId="12" fillId="0" borderId="0" xfId="7" applyNumberFormat="1" applyFont="1" applyAlignment="1">
      <alignment horizontal="left"/>
    </xf>
    <xf numFmtId="0" fontId="38" fillId="0" borderId="0" xfId="7" applyNumberFormat="1" applyFont="1" applyBorder="1" applyAlignment="1">
      <alignment horizontal="left" vertical="top"/>
    </xf>
    <xf numFmtId="0" fontId="12" fillId="0" borderId="2" xfId="7" applyNumberFormat="1" applyFont="1" applyBorder="1" applyAlignment="1">
      <alignment horizontal="left" vertical="top" wrapText="1"/>
    </xf>
    <xf numFmtId="49" fontId="11" fillId="0" borderId="2" xfId="7" applyNumberFormat="1" applyFont="1" applyBorder="1" applyAlignment="1">
      <alignment horizontal="right" vertical="top" wrapText="1"/>
    </xf>
    <xf numFmtId="3" fontId="12" fillId="0" borderId="2" xfId="7" applyNumberFormat="1" applyFont="1" applyBorder="1" applyAlignment="1">
      <alignment horizontal="right" vertical="top" wrapText="1"/>
    </xf>
    <xf numFmtId="0" fontId="11" fillId="0" borderId="2" xfId="7" applyNumberFormat="1" applyFont="1" applyBorder="1" applyAlignment="1">
      <alignment horizontal="left" vertical="top" wrapText="1"/>
    </xf>
    <xf numFmtId="3" fontId="11" fillId="0" borderId="2" xfId="7" applyNumberFormat="1" applyFont="1" applyBorder="1" applyAlignment="1">
      <alignment horizontal="right" vertical="top" wrapText="1"/>
    </xf>
    <xf numFmtId="49" fontId="11" fillId="0" borderId="19" xfId="7" applyNumberFormat="1" applyFont="1" applyBorder="1" applyAlignment="1">
      <alignment horizontal="right" vertical="top" wrapText="1"/>
    </xf>
    <xf numFmtId="49" fontId="11" fillId="0" borderId="13" xfId="7" applyNumberFormat="1" applyFont="1" applyBorder="1" applyAlignment="1">
      <alignment horizontal="right" vertical="top" wrapText="1"/>
    </xf>
    <xf numFmtId="0" fontId="11" fillId="0" borderId="13" xfId="7" applyNumberFormat="1" applyFont="1" applyBorder="1" applyAlignment="1">
      <alignment horizontal="left" vertical="top" wrapText="1"/>
    </xf>
    <xf numFmtId="3" fontId="11" fillId="0" borderId="13" xfId="7" applyNumberFormat="1" applyFont="1" applyBorder="1" applyAlignment="1">
      <alignment horizontal="right" vertical="top" wrapText="1"/>
    </xf>
    <xf numFmtId="0" fontId="12" fillId="0" borderId="19" xfId="7" applyNumberFormat="1" applyFont="1" applyBorder="1" applyAlignment="1">
      <alignment horizontal="left" vertical="top" wrapText="1"/>
    </xf>
    <xf numFmtId="0" fontId="12" fillId="0" borderId="13" xfId="7" applyNumberFormat="1" applyFont="1" applyBorder="1" applyAlignment="1">
      <alignment horizontal="left" vertical="top" wrapText="1"/>
    </xf>
    <xf numFmtId="0" fontId="12" fillId="0" borderId="13" xfId="7" applyNumberFormat="1" applyFont="1" applyBorder="1" applyAlignment="1">
      <alignment horizontal="right" vertical="top" wrapText="1"/>
    </xf>
    <xf numFmtId="49" fontId="11" fillId="0" borderId="30" xfId="7" applyNumberFormat="1" applyFont="1" applyBorder="1" applyAlignment="1">
      <alignment horizontal="right" vertical="top" wrapText="1"/>
    </xf>
    <xf numFmtId="0" fontId="11" fillId="0" borderId="30" xfId="7" applyNumberFormat="1" applyFont="1" applyBorder="1" applyAlignment="1">
      <alignment horizontal="left" vertical="top" wrapText="1"/>
    </xf>
    <xf numFmtId="0" fontId="11" fillId="0" borderId="30" xfId="7" applyNumberFormat="1" applyFont="1" applyBorder="1" applyAlignment="1">
      <alignment horizontal="right" vertical="top" wrapText="1"/>
    </xf>
    <xf numFmtId="49" fontId="11" fillId="0" borderId="34" xfId="7" applyNumberFormat="1" applyFont="1" applyBorder="1" applyAlignment="1">
      <alignment horizontal="right" vertical="top" wrapText="1"/>
    </xf>
    <xf numFmtId="0" fontId="11" fillId="0" borderId="34" xfId="7" applyNumberFormat="1" applyFont="1" applyBorder="1" applyAlignment="1">
      <alignment horizontal="left" vertical="top" wrapText="1"/>
    </xf>
    <xf numFmtId="0" fontId="11" fillId="0" borderId="34" xfId="7" applyNumberFormat="1" applyFont="1" applyBorder="1" applyAlignment="1">
      <alignment horizontal="right" vertical="top" wrapText="1"/>
    </xf>
    <xf numFmtId="0" fontId="12" fillId="0" borderId="34" xfId="7" applyNumberFormat="1" applyFont="1" applyBorder="1" applyAlignment="1">
      <alignment horizontal="left" vertical="top" wrapText="1"/>
    </xf>
    <xf numFmtId="0" fontId="12" fillId="0" borderId="34" xfId="7" applyNumberFormat="1" applyFont="1" applyBorder="1" applyAlignment="1">
      <alignment horizontal="right" vertical="top" wrapText="1"/>
    </xf>
    <xf numFmtId="3" fontId="12" fillId="0" borderId="19" xfId="7" applyNumberFormat="1" applyFont="1" applyBorder="1" applyAlignment="1">
      <alignment horizontal="right" vertical="top" wrapText="1"/>
    </xf>
    <xf numFmtId="0" fontId="4" fillId="4" borderId="0" xfId="7" applyFont="1" applyFill="1" applyAlignment="1">
      <alignment vertical="center"/>
    </xf>
    <xf numFmtId="0" fontId="1" fillId="4" borderId="0" xfId="0" applyFont="1" applyFill="1" applyAlignment="1">
      <alignment horizontal="left" vertical="center"/>
    </xf>
    <xf numFmtId="0" fontId="3" fillId="4" borderId="0" xfId="1" applyFont="1" applyFill="1" applyBorder="1" applyAlignment="1">
      <alignment horizontal="left" vertical="center"/>
    </xf>
    <xf numFmtId="0" fontId="4" fillId="4" borderId="0" xfId="1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left" vertical="center"/>
    </xf>
    <xf numFmtId="0" fontId="39" fillId="4" borderId="0" xfId="0" applyFont="1" applyFill="1" applyAlignment="1">
      <alignment horizontal="center" vertical="center"/>
    </xf>
    <xf numFmtId="0" fontId="39" fillId="4" borderId="0" xfId="0" applyFont="1" applyFill="1" applyAlignment="1">
      <alignment horizontal="left" vertical="center"/>
    </xf>
    <xf numFmtId="0" fontId="2" fillId="4" borderId="0" xfId="1" applyFont="1" applyFill="1" applyAlignment="1">
      <alignment horizontal="center" vertical="center"/>
    </xf>
    <xf numFmtId="0" fontId="40" fillId="4" borderId="0" xfId="0" applyFont="1" applyFill="1" applyAlignment="1">
      <alignment horizontal="center" vertical="center"/>
    </xf>
    <xf numFmtId="0" fontId="0" fillId="4" borderId="0" xfId="0" applyFill="1"/>
    <xf numFmtId="0" fontId="4" fillId="0" borderId="0" xfId="0" applyFont="1" applyAlignment="1"/>
    <xf numFmtId="0" fontId="4" fillId="0" borderId="0" xfId="7" applyFont="1" applyAlignment="1"/>
    <xf numFmtId="0" fontId="2" fillId="0" borderId="0" xfId="8"/>
    <xf numFmtId="0" fontId="3" fillId="0" borderId="2" xfId="8" applyFont="1" applyFill="1" applyBorder="1" applyAlignment="1">
      <alignment horizontal="center" vertical="top"/>
    </xf>
    <xf numFmtId="0" fontId="3" fillId="0" borderId="2" xfId="8" applyFont="1" applyFill="1" applyBorder="1" applyAlignment="1">
      <alignment horizontal="center" vertical="top" wrapText="1"/>
    </xf>
    <xf numFmtId="0" fontId="3" fillId="0" borderId="13" xfId="8" applyFont="1" applyBorder="1" applyAlignment="1">
      <alignment horizontal="center" vertical="top" wrapText="1"/>
    </xf>
    <xf numFmtId="0" fontId="3" fillId="0" borderId="14" xfId="8" applyFont="1" applyBorder="1" applyAlignment="1">
      <alignment horizontal="center" vertical="top" wrapText="1"/>
    </xf>
    <xf numFmtId="0" fontId="3" fillId="0" borderId="1" xfId="8" applyFont="1" applyBorder="1" applyAlignment="1">
      <alignment horizontal="center" vertical="top" wrapText="1"/>
    </xf>
    <xf numFmtId="0" fontId="3" fillId="0" borderId="15" xfId="8" applyFont="1" applyBorder="1" applyAlignment="1">
      <alignment horizontal="center" vertical="top" wrapText="1"/>
    </xf>
    <xf numFmtId="0" fontId="3" fillId="0" borderId="12" xfId="8" applyFont="1" applyFill="1" applyBorder="1" applyAlignment="1">
      <alignment horizontal="center" vertical="top"/>
    </xf>
    <xf numFmtId="0" fontId="3" fillId="0" borderId="12" xfId="8" applyFont="1" applyFill="1" applyBorder="1" applyAlignment="1">
      <alignment horizontal="center" vertical="top" wrapText="1"/>
    </xf>
    <xf numFmtId="0" fontId="4" fillId="0" borderId="13" xfId="8" applyFont="1" applyBorder="1" applyAlignment="1">
      <alignment horizontal="center" vertical="top" wrapText="1"/>
    </xf>
    <xf numFmtId="3" fontId="4" fillId="0" borderId="12" xfId="8" applyNumberFormat="1" applyFont="1" applyBorder="1" applyAlignment="1">
      <alignment horizontal="center" vertical="center" wrapText="1"/>
    </xf>
    <xf numFmtId="14" fontId="4" fillId="0" borderId="12" xfId="8" applyNumberFormat="1" applyFont="1" applyFill="1" applyBorder="1" applyAlignment="1">
      <alignment horizontal="center" vertical="center" wrapText="1"/>
    </xf>
    <xf numFmtId="3" fontId="2" fillId="0" borderId="0" xfId="8" applyNumberFormat="1"/>
    <xf numFmtId="14" fontId="4" fillId="0" borderId="2" xfId="8" applyNumberFormat="1" applyFont="1" applyFill="1" applyBorder="1" applyAlignment="1">
      <alignment horizontal="center" vertical="center" wrapText="1"/>
    </xf>
    <xf numFmtId="0" fontId="4" fillId="0" borderId="2" xfId="8" applyNumberFormat="1" applyFont="1" applyBorder="1" applyAlignment="1">
      <alignment horizontal="center" vertical="center"/>
    </xf>
    <xf numFmtId="0" fontId="6" fillId="0" borderId="2" xfId="8" applyFont="1" applyFill="1" applyBorder="1" applyAlignment="1">
      <alignment horizontal="center" wrapText="1"/>
    </xf>
    <xf numFmtId="14" fontId="4" fillId="0" borderId="2" xfId="8" applyNumberFormat="1" applyFont="1" applyFill="1" applyBorder="1" applyAlignment="1">
      <alignment horizontal="center" vertical="center"/>
    </xf>
    <xf numFmtId="0" fontId="4" fillId="0" borderId="0" xfId="8" applyNumberFormat="1" applyFont="1" applyBorder="1" applyAlignment="1">
      <alignment horizontal="center" vertical="center"/>
    </xf>
    <xf numFmtId="0" fontId="4" fillId="0" borderId="0" xfId="8" applyFont="1" applyBorder="1" applyAlignment="1">
      <alignment horizontal="center" vertical="top" wrapText="1"/>
    </xf>
    <xf numFmtId="3" fontId="3" fillId="0" borderId="0" xfId="8" applyNumberFormat="1" applyFont="1" applyBorder="1" applyAlignment="1">
      <alignment horizontal="center" vertical="top" wrapText="1"/>
    </xf>
    <xf numFmtId="0" fontId="6" fillId="0" borderId="0" xfId="8" applyFont="1" applyFill="1" applyBorder="1" applyAlignment="1">
      <alignment horizontal="center" wrapText="1"/>
    </xf>
    <xf numFmtId="14" fontId="4" fillId="0" borderId="0" xfId="8" applyNumberFormat="1" applyFont="1" applyFill="1" applyBorder="1" applyAlignment="1">
      <alignment horizontal="center" vertical="center"/>
    </xf>
    <xf numFmtId="0" fontId="27" fillId="0" borderId="0" xfId="0" applyFont="1"/>
    <xf numFmtId="0" fontId="4" fillId="0" borderId="0" xfId="0" applyFont="1" applyFill="1" applyBorder="1" applyAlignment="1">
      <alignment horizontal="left" vertical="center"/>
    </xf>
    <xf numFmtId="0" fontId="4" fillId="4" borderId="0" xfId="7" applyFont="1" applyFill="1" applyBorder="1" applyAlignment="1">
      <alignment horizontal="left"/>
    </xf>
    <xf numFmtId="0" fontId="4" fillId="4" borderId="0" xfId="7" applyFont="1" applyFill="1" applyBorder="1" applyAlignment="1"/>
    <xf numFmtId="3" fontId="4" fillId="4" borderId="0" xfId="7" applyNumberFormat="1" applyFont="1" applyFill="1" applyBorder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3" fontId="26" fillId="0" borderId="0" xfId="0" applyNumberFormat="1" applyFont="1" applyBorder="1" applyAlignment="1">
      <alignment horizontal="left" vertical="center"/>
    </xf>
    <xf numFmtId="0" fontId="4" fillId="0" borderId="0" xfId="7" applyFont="1" applyBorder="1"/>
    <xf numFmtId="2" fontId="6" fillId="4" borderId="0" xfId="16" applyNumberFormat="1" applyFont="1" applyFill="1" applyBorder="1" applyAlignment="1">
      <alignment horizontal="left" vertical="top" wrapText="1"/>
    </xf>
    <xf numFmtId="2" fontId="7" fillId="4" borderId="0" xfId="16" applyNumberFormat="1" applyFont="1" applyFill="1" applyBorder="1" applyAlignment="1">
      <alignment horizontal="left" vertical="top" wrapText="1"/>
    </xf>
    <xf numFmtId="2" fontId="7" fillId="4" borderId="0" xfId="16" applyNumberFormat="1" applyFont="1" applyFill="1" applyBorder="1" applyAlignment="1">
      <alignment vertical="top" wrapText="1"/>
    </xf>
    <xf numFmtId="0" fontId="27" fillId="4" borderId="0" xfId="0" applyFont="1" applyFill="1" applyAlignment="1">
      <alignment vertical="center"/>
    </xf>
    <xf numFmtId="3" fontId="26" fillId="0" borderId="0" xfId="0" applyNumberFormat="1" applyFont="1" applyBorder="1" applyAlignment="1">
      <alignment horizontal="left" vertical="center" wrapText="1"/>
    </xf>
    <xf numFmtId="3" fontId="26" fillId="0" borderId="0" xfId="0" applyNumberFormat="1" applyFont="1" applyBorder="1" applyAlignment="1">
      <alignment horizontal="right" vertical="center" wrapText="1"/>
    </xf>
    <xf numFmtId="0" fontId="4" fillId="0" borderId="0" xfId="7" applyFont="1" applyAlignment="1">
      <alignment vertical="center"/>
    </xf>
    <xf numFmtId="0" fontId="27" fillId="0" borderId="0" xfId="0" applyFont="1" applyBorder="1"/>
    <xf numFmtId="0" fontId="4" fillId="0" borderId="0" xfId="0" applyFont="1" applyBorder="1"/>
    <xf numFmtId="0" fontId="4" fillId="4" borderId="0" xfId="7" applyFont="1" applyFill="1" applyBorder="1"/>
    <xf numFmtId="0" fontId="2" fillId="0" borderId="0" xfId="8" applyFill="1"/>
    <xf numFmtId="0" fontId="29" fillId="0" borderId="0" xfId="13" applyFont="1"/>
    <xf numFmtId="0" fontId="4" fillId="0" borderId="0" xfId="0" applyFont="1" applyFill="1" applyAlignment="1">
      <alignment horizontal="left" vertical="center"/>
    </xf>
    <xf numFmtId="0" fontId="4" fillId="0" borderId="0" xfId="7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4" fillId="0" borderId="0" xfId="7" applyFont="1" applyFill="1" applyAlignment="1"/>
    <xf numFmtId="0" fontId="4" fillId="0" borderId="0" xfId="0" applyFont="1" applyFill="1" applyAlignment="1"/>
    <xf numFmtId="0" fontId="4" fillId="4" borderId="0" xfId="0" applyFont="1" applyFill="1"/>
    <xf numFmtId="0" fontId="6" fillId="4" borderId="0" xfId="0" applyFont="1" applyFill="1" applyAlignment="1">
      <alignment horizontal="center" vertical="center" wrapText="1"/>
    </xf>
    <xf numFmtId="0" fontId="2" fillId="4" borderId="0" xfId="8" applyFill="1"/>
    <xf numFmtId="0" fontId="3" fillId="4" borderId="0" xfId="7" applyFont="1" applyFill="1"/>
    <xf numFmtId="0" fontId="3" fillId="4" borderId="0" xfId="7" applyFont="1" applyFill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7" applyFont="1" applyFill="1"/>
    <xf numFmtId="0" fontId="26" fillId="4" borderId="0" xfId="0" applyFont="1" applyFill="1" applyBorder="1" applyAlignment="1">
      <alignment horizontal="left" vertical="center"/>
    </xf>
    <xf numFmtId="0" fontId="4" fillId="4" borderId="0" xfId="7" applyFont="1" applyFill="1" applyAlignment="1"/>
    <xf numFmtId="0" fontId="26" fillId="4" borderId="0" xfId="0" applyFont="1" applyFill="1" applyAlignment="1">
      <alignment horizontal="center" vertical="center"/>
    </xf>
    <xf numFmtId="0" fontId="4" fillId="4" borderId="0" xfId="8" applyFont="1" applyFill="1" applyAlignment="1"/>
    <xf numFmtId="0" fontId="3" fillId="4" borderId="2" xfId="8" applyFont="1" applyFill="1" applyBorder="1" applyAlignment="1">
      <alignment horizontal="center" vertical="top"/>
    </xf>
    <xf numFmtId="0" fontId="3" fillId="4" borderId="2" xfId="8" applyFont="1" applyFill="1" applyBorder="1" applyAlignment="1">
      <alignment horizontal="center" vertical="top" wrapText="1"/>
    </xf>
    <xf numFmtId="14" fontId="2" fillId="0" borderId="0" xfId="8" applyNumberFormat="1"/>
    <xf numFmtId="0" fontId="4" fillId="4" borderId="13" xfId="8" applyFont="1" applyFill="1" applyBorder="1" applyAlignment="1">
      <alignment horizontal="center" vertical="top" wrapText="1"/>
    </xf>
    <xf numFmtId="14" fontId="4" fillId="4" borderId="2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4" borderId="0" xfId="0" applyFont="1" applyFill="1" applyAlignment="1">
      <alignment vertical="center" wrapText="1"/>
    </xf>
    <xf numFmtId="3" fontId="4" fillId="4" borderId="40" xfId="8" applyNumberFormat="1" applyFont="1" applyFill="1" applyBorder="1" applyAlignment="1">
      <alignment horizontal="center" vertical="center" wrapText="1"/>
    </xf>
    <xf numFmtId="14" fontId="4" fillId="4" borderId="40" xfId="8" applyNumberFormat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3" fillId="4" borderId="13" xfId="8" applyFont="1" applyFill="1" applyBorder="1" applyAlignment="1">
      <alignment horizontal="center" vertical="top" wrapText="1"/>
    </xf>
    <xf numFmtId="0" fontId="3" fillId="4" borderId="14" xfId="8" applyFont="1" applyFill="1" applyBorder="1" applyAlignment="1">
      <alignment horizontal="center" vertical="top" wrapText="1"/>
    </xf>
    <xf numFmtId="0" fontId="3" fillId="4" borderId="1" xfId="8" applyFont="1" applyFill="1" applyBorder="1" applyAlignment="1">
      <alignment horizontal="center" vertical="top" wrapText="1"/>
    </xf>
    <xf numFmtId="0" fontId="3" fillId="4" borderId="15" xfId="8" applyFont="1" applyFill="1" applyBorder="1" applyAlignment="1">
      <alignment horizontal="center" vertical="top" wrapText="1"/>
    </xf>
    <xf numFmtId="0" fontId="3" fillId="4" borderId="42" xfId="8" applyFont="1" applyFill="1" applyBorder="1" applyAlignment="1">
      <alignment horizontal="center" vertical="top"/>
    </xf>
    <xf numFmtId="0" fontId="3" fillId="4" borderId="40" xfId="8" applyFont="1" applyFill="1" applyBorder="1" applyAlignment="1">
      <alignment horizontal="center" vertical="top" wrapText="1"/>
    </xf>
    <xf numFmtId="0" fontId="3" fillId="0" borderId="19" xfId="8" applyFont="1" applyBorder="1" applyAlignment="1">
      <alignment horizontal="center" vertical="top" wrapText="1"/>
    </xf>
    <xf numFmtId="0" fontId="3" fillId="0" borderId="13" xfId="8" applyFont="1" applyBorder="1" applyAlignment="1">
      <alignment horizontal="center" vertical="top" wrapText="1"/>
    </xf>
    <xf numFmtId="0" fontId="3" fillId="0" borderId="20" xfId="8" applyFont="1" applyBorder="1" applyAlignment="1">
      <alignment horizontal="center" vertical="top" wrapText="1"/>
    </xf>
    <xf numFmtId="0" fontId="3" fillId="0" borderId="21" xfId="8" applyFont="1" applyBorder="1" applyAlignment="1">
      <alignment horizontal="center" vertical="top" wrapText="1"/>
    </xf>
    <xf numFmtId="0" fontId="3" fillId="0" borderId="22" xfId="8" applyFont="1" applyBorder="1" applyAlignment="1">
      <alignment horizontal="center" vertical="top" wrapText="1"/>
    </xf>
    <xf numFmtId="0" fontId="3" fillId="0" borderId="14" xfId="8" applyFont="1" applyBorder="1" applyAlignment="1">
      <alignment horizontal="center" vertical="top" wrapText="1"/>
    </xf>
    <xf numFmtId="0" fontId="3" fillId="0" borderId="1" xfId="8" applyFont="1" applyBorder="1" applyAlignment="1">
      <alignment horizontal="center" vertical="top" wrapText="1"/>
    </xf>
    <xf numFmtId="0" fontId="3" fillId="0" borderId="15" xfId="8" applyFont="1" applyBorder="1" applyAlignment="1">
      <alignment horizontal="center" vertical="top" wrapText="1"/>
    </xf>
    <xf numFmtId="0" fontId="3" fillId="0" borderId="11" xfId="8" applyFont="1" applyFill="1" applyBorder="1" applyAlignment="1">
      <alignment horizontal="center" vertical="top"/>
    </xf>
    <xf numFmtId="0" fontId="3" fillId="0" borderId="12" xfId="8" applyFont="1" applyFill="1" applyBorder="1" applyAlignment="1">
      <alignment horizontal="center" vertical="top"/>
    </xf>
    <xf numFmtId="14" fontId="6" fillId="0" borderId="7" xfId="8" applyNumberFormat="1" applyFont="1" applyFill="1" applyBorder="1" applyAlignment="1">
      <alignment horizontal="center" vertical="center" wrapText="1"/>
    </xf>
    <xf numFmtId="14" fontId="6" fillId="0" borderId="13" xfId="8" applyNumberFormat="1" applyFont="1" applyFill="1" applyBorder="1" applyAlignment="1">
      <alignment horizontal="center" vertical="center" wrapText="1"/>
    </xf>
    <xf numFmtId="0" fontId="4" fillId="0" borderId="11" xfId="8" applyFont="1" applyFill="1" applyBorder="1" applyAlignment="1">
      <alignment horizontal="left" vertical="top" wrapText="1"/>
    </xf>
    <xf numFmtId="0" fontId="4" fillId="0" borderId="10" xfId="8" applyFont="1" applyFill="1" applyBorder="1" applyAlignment="1">
      <alignment horizontal="left" vertical="top" wrapText="1"/>
    </xf>
    <xf numFmtId="0" fontId="4" fillId="0" borderId="12" xfId="8" applyFont="1" applyFill="1" applyBorder="1" applyAlignment="1">
      <alignment horizontal="left" vertical="top" wrapText="1"/>
    </xf>
    <xf numFmtId="0" fontId="4" fillId="0" borderId="0" xfId="0" applyFont="1" applyAlignment="1">
      <alignment horizontal="justify" wrapText="1"/>
    </xf>
    <xf numFmtId="0" fontId="27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4" borderId="11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0" borderId="11" xfId="8" applyFont="1" applyBorder="1" applyAlignment="1">
      <alignment horizontal="center" vertical="top" wrapText="1"/>
    </xf>
    <xf numFmtId="0" fontId="4" fillId="0" borderId="10" xfId="8" applyFont="1" applyBorder="1" applyAlignment="1">
      <alignment horizontal="center" vertical="top" wrapText="1"/>
    </xf>
    <xf numFmtId="0" fontId="4" fillId="0" borderId="12" xfId="8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3" fillId="4" borderId="0" xfId="8" applyFont="1" applyFill="1" applyAlignment="1">
      <alignment horizontal="center"/>
    </xf>
    <xf numFmtId="0" fontId="4" fillId="4" borderId="0" xfId="8" applyFont="1" applyFill="1" applyAlignment="1">
      <alignment horizontal="center"/>
    </xf>
    <xf numFmtId="0" fontId="3" fillId="4" borderId="42" xfId="8" applyFont="1" applyFill="1" applyBorder="1" applyAlignment="1">
      <alignment horizontal="center" vertical="top" wrapText="1"/>
    </xf>
    <xf numFmtId="0" fontId="3" fillId="4" borderId="13" xfId="8" applyFont="1" applyFill="1" applyBorder="1" applyAlignment="1">
      <alignment horizontal="center" vertical="top" wrapText="1"/>
    </xf>
    <xf numFmtId="0" fontId="3" fillId="4" borderId="43" xfId="8" applyFont="1" applyFill="1" applyBorder="1" applyAlignment="1">
      <alignment horizontal="center" vertical="top" wrapText="1"/>
    </xf>
    <xf numFmtId="0" fontId="3" fillId="4" borderId="41" xfId="8" applyFont="1" applyFill="1" applyBorder="1" applyAlignment="1">
      <alignment horizontal="center" vertical="top" wrapText="1"/>
    </xf>
    <xf numFmtId="0" fontId="3" fillId="4" borderId="44" xfId="8" applyFont="1" applyFill="1" applyBorder="1" applyAlignment="1">
      <alignment horizontal="center" vertical="top" wrapText="1"/>
    </xf>
    <xf numFmtId="0" fontId="3" fillId="4" borderId="14" xfId="8" applyFont="1" applyFill="1" applyBorder="1" applyAlignment="1">
      <alignment horizontal="center" vertical="top" wrapText="1"/>
    </xf>
    <xf numFmtId="0" fontId="3" fillId="4" borderId="1" xfId="8" applyFont="1" applyFill="1" applyBorder="1" applyAlignment="1">
      <alignment horizontal="center" vertical="top" wrapText="1"/>
    </xf>
    <xf numFmtId="0" fontId="3" fillId="4" borderId="15" xfId="8" applyFont="1" applyFill="1" applyBorder="1" applyAlignment="1">
      <alignment horizontal="center" vertical="top" wrapText="1"/>
    </xf>
    <xf numFmtId="0" fontId="3" fillId="4" borderId="38" xfId="8" applyFont="1" applyFill="1" applyBorder="1" applyAlignment="1">
      <alignment horizontal="center" vertical="top"/>
    </xf>
    <xf numFmtId="0" fontId="3" fillId="4" borderId="40" xfId="8" applyFont="1" applyFill="1" applyBorder="1" applyAlignment="1">
      <alignment horizontal="center" vertical="top"/>
    </xf>
    <xf numFmtId="0" fontId="1" fillId="4" borderId="0" xfId="0" applyFont="1" applyFill="1" applyAlignment="1">
      <alignment horizontal="left" vertical="center" wrapText="1"/>
    </xf>
    <xf numFmtId="0" fontId="3" fillId="4" borderId="0" xfId="8" applyFont="1" applyFill="1" applyAlignment="1">
      <alignment horizontal="center" vertical="center" wrapText="1"/>
    </xf>
    <xf numFmtId="0" fontId="3" fillId="4" borderId="1" xfId="8" applyFont="1" applyFill="1" applyBorder="1" applyAlignment="1">
      <alignment horizontal="center" vertical="center" wrapText="1"/>
    </xf>
    <xf numFmtId="0" fontId="6" fillId="4" borderId="38" xfId="8" applyFont="1" applyFill="1" applyBorder="1" applyAlignment="1">
      <alignment horizontal="left" vertical="top" wrapText="1"/>
    </xf>
    <xf numFmtId="0" fontId="6" fillId="4" borderId="39" xfId="8" applyFont="1" applyFill="1" applyBorder="1" applyAlignment="1">
      <alignment horizontal="left" vertical="top" wrapText="1"/>
    </xf>
    <xf numFmtId="0" fontId="6" fillId="4" borderId="40" xfId="8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center" vertical="center"/>
    </xf>
    <xf numFmtId="0" fontId="6" fillId="4" borderId="41" xfId="8" applyNumberFormat="1" applyFont="1" applyFill="1" applyBorder="1" applyAlignment="1">
      <alignment horizontal="left" vertical="top" wrapText="1"/>
    </xf>
    <xf numFmtId="0" fontId="6" fillId="4" borderId="0" xfId="8" applyNumberFormat="1" applyFont="1" applyFill="1" applyBorder="1" applyAlignment="1">
      <alignment horizontal="left" vertical="top" wrapText="1"/>
    </xf>
    <xf numFmtId="1" fontId="12" fillId="0" borderId="1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1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1" fontId="10" fillId="0" borderId="10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32" fillId="0" borderId="2" xfId="11" applyFont="1" applyBorder="1" applyAlignment="1">
      <alignment horizontal="left" vertical="top" wrapText="1"/>
    </xf>
    <xf numFmtId="0" fontId="30" fillId="0" borderId="2" xfId="11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11" fillId="0" borderId="2" xfId="11" applyFont="1" applyBorder="1" applyAlignment="1">
      <alignment horizontal="left" vertical="top" wrapText="1"/>
    </xf>
    <xf numFmtId="0" fontId="30" fillId="0" borderId="2" xfId="11" applyFont="1" applyBorder="1" applyAlignment="1">
      <alignment vertical="top" wrapText="1"/>
    </xf>
    <xf numFmtId="0" fontId="12" fillId="0" borderId="11" xfId="11" applyFont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23" fillId="0" borderId="0" xfId="0" applyFont="1" applyAlignment="1">
      <alignment horizontal="center"/>
    </xf>
    <xf numFmtId="0" fontId="24" fillId="0" borderId="0" xfId="0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 wrapText="1"/>
    </xf>
    <xf numFmtId="10" fontId="5" fillId="0" borderId="11" xfId="0" applyNumberFormat="1" applyFont="1" applyBorder="1" applyAlignment="1">
      <alignment horizontal="right"/>
    </xf>
    <xf numFmtId="10" fontId="5" fillId="0" borderId="10" xfId="0" applyNumberFormat="1" applyFont="1" applyBorder="1" applyAlignment="1">
      <alignment horizontal="right"/>
    </xf>
    <xf numFmtId="10" fontId="5" fillId="0" borderId="1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8" fillId="0" borderId="2" xfId="0" applyFont="1" applyBorder="1" applyAlignment="1">
      <alignment horizontal="left"/>
    </xf>
    <xf numFmtId="0" fontId="5" fillId="0" borderId="11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26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8" fillId="0" borderId="11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0" xfId="0" applyFont="1" applyFill="1" applyBorder="1" applyAlignment="1">
      <alignment horizontal="right" wrapText="1"/>
    </xf>
    <xf numFmtId="0" fontId="12" fillId="0" borderId="27" xfId="7" applyNumberFormat="1" applyFont="1" applyBorder="1" applyAlignment="1">
      <alignment horizontal="center" wrapText="1"/>
    </xf>
    <xf numFmtId="0" fontId="12" fillId="0" borderId="29" xfId="7" applyNumberFormat="1" applyFont="1" applyBorder="1" applyAlignment="1">
      <alignment horizontal="center" wrapText="1"/>
    </xf>
    <xf numFmtId="0" fontId="12" fillId="0" borderId="28" xfId="7" applyNumberFormat="1" applyFont="1" applyBorder="1" applyAlignment="1">
      <alignment horizontal="center" wrapText="1"/>
    </xf>
    <xf numFmtId="0" fontId="12" fillId="0" borderId="35" xfId="7" applyNumberFormat="1" applyFont="1" applyBorder="1" applyAlignment="1">
      <alignment horizontal="left" vertical="top" wrapText="1"/>
    </xf>
    <xf numFmtId="0" fontId="12" fillId="0" borderId="36" xfId="7" applyNumberFormat="1" applyFont="1" applyBorder="1" applyAlignment="1">
      <alignment horizontal="left" vertical="top" wrapText="1"/>
    </xf>
    <xf numFmtId="0" fontId="12" fillId="0" borderId="37" xfId="7" applyNumberFormat="1" applyFont="1" applyBorder="1" applyAlignment="1">
      <alignment horizontal="left" vertical="top" wrapText="1"/>
    </xf>
    <xf numFmtId="0" fontId="11" fillId="0" borderId="31" xfId="7" applyNumberFormat="1" applyFont="1" applyBorder="1" applyAlignment="1">
      <alignment horizontal="left" vertical="top" wrapText="1"/>
    </xf>
    <xf numFmtId="0" fontId="11" fillId="0" borderId="32" xfId="7" applyNumberFormat="1" applyFont="1" applyBorder="1" applyAlignment="1">
      <alignment horizontal="left" vertical="top" wrapText="1"/>
    </xf>
    <xf numFmtId="0" fontId="11" fillId="0" borderId="33" xfId="7" applyNumberFormat="1" applyFont="1" applyBorder="1" applyAlignment="1">
      <alignment horizontal="left" vertical="top" wrapText="1"/>
    </xf>
    <xf numFmtId="0" fontId="34" fillId="0" borderId="0" xfId="7" applyNumberFormat="1" applyFont="1" applyBorder="1" applyAlignment="1">
      <alignment horizontal="right" vertical="top" wrapText="1"/>
    </xf>
    <xf numFmtId="0" fontId="11" fillId="0" borderId="0" xfId="7" applyNumberFormat="1" applyFont="1" applyBorder="1" applyAlignment="1">
      <alignment horizontal="center" vertical="top" wrapText="1"/>
    </xf>
    <xf numFmtId="0" fontId="36" fillId="0" borderId="0" xfId="7" applyNumberFormat="1" applyFont="1" applyAlignment="1">
      <alignment horizontal="left" vertical="top" wrapText="1"/>
    </xf>
    <xf numFmtId="0" fontId="31" fillId="0" borderId="24" xfId="7" applyNumberFormat="1" applyFont="1" applyBorder="1" applyAlignment="1">
      <alignment horizontal="center" vertical="top" wrapText="1"/>
    </xf>
    <xf numFmtId="0" fontId="31" fillId="0" borderId="25" xfId="7" applyNumberFormat="1" applyFont="1" applyBorder="1" applyAlignment="1">
      <alignment horizontal="center" vertical="top" wrapText="1"/>
    </xf>
    <xf numFmtId="0" fontId="31" fillId="0" borderId="26" xfId="7" applyNumberFormat="1" applyFont="1" applyBorder="1" applyAlignment="1">
      <alignment horizontal="center" vertical="top" wrapText="1"/>
    </xf>
    <xf numFmtId="0" fontId="11" fillId="0" borderId="35" xfId="7" applyNumberFormat="1" applyFont="1" applyBorder="1" applyAlignment="1">
      <alignment horizontal="left" vertical="top" wrapText="1"/>
    </xf>
    <xf numFmtId="0" fontId="11" fillId="0" borderId="36" xfId="7" applyNumberFormat="1" applyFont="1" applyBorder="1" applyAlignment="1">
      <alignment horizontal="left" vertical="top" wrapText="1"/>
    </xf>
    <xf numFmtId="0" fontId="11" fillId="0" borderId="37" xfId="7" applyNumberFormat="1" applyFont="1" applyBorder="1" applyAlignment="1">
      <alignment horizontal="left" vertical="top" wrapText="1"/>
    </xf>
    <xf numFmtId="0" fontId="12" fillId="0" borderId="14" xfId="7" applyNumberFormat="1" applyFont="1" applyBorder="1" applyAlignment="1">
      <alignment horizontal="left" vertical="top" wrapText="1"/>
    </xf>
    <xf numFmtId="0" fontId="12" fillId="0" borderId="15" xfId="7" applyNumberFormat="1" applyFont="1" applyBorder="1" applyAlignment="1">
      <alignment horizontal="left" vertical="top" wrapText="1"/>
    </xf>
    <xf numFmtId="9" fontId="12" fillId="0" borderId="14" xfId="7" applyNumberFormat="1" applyFont="1" applyBorder="1" applyAlignment="1">
      <alignment horizontal="left" vertical="top" wrapText="1"/>
    </xf>
    <xf numFmtId="9" fontId="12" fillId="0" borderId="1" xfId="7" applyNumberFormat="1" applyFont="1" applyBorder="1" applyAlignment="1">
      <alignment horizontal="left" vertical="top" wrapText="1"/>
    </xf>
    <xf numFmtId="9" fontId="12" fillId="0" borderId="15" xfId="7" applyNumberFormat="1" applyFont="1" applyBorder="1" applyAlignment="1">
      <alignment horizontal="left" vertical="top" wrapText="1"/>
    </xf>
    <xf numFmtId="0" fontId="35" fillId="0" borderId="0" xfId="7" applyNumberFormat="1" applyFont="1" applyAlignment="1">
      <alignment horizontal="left" wrapText="1"/>
    </xf>
    <xf numFmtId="0" fontId="11" fillId="0" borderId="14" xfId="7" applyNumberFormat="1" applyFont="1" applyBorder="1" applyAlignment="1">
      <alignment horizontal="left" vertical="top" wrapText="1"/>
    </xf>
    <xf numFmtId="0" fontId="11" fillId="0" borderId="15" xfId="7" applyNumberFormat="1" applyFont="1" applyBorder="1" applyAlignment="1">
      <alignment horizontal="left" vertical="top" wrapText="1"/>
    </xf>
    <xf numFmtId="0" fontId="11" fillId="0" borderId="1" xfId="7" applyNumberFormat="1" applyFont="1" applyBorder="1" applyAlignment="1">
      <alignment horizontal="left" vertical="top" wrapText="1"/>
    </xf>
    <xf numFmtId="0" fontId="12" fillId="0" borderId="11" xfId="7" applyNumberFormat="1" applyFont="1" applyBorder="1" applyAlignment="1">
      <alignment horizontal="left" vertical="top" wrapText="1"/>
    </xf>
    <xf numFmtId="0" fontId="12" fillId="0" borderId="12" xfId="7" applyNumberFormat="1" applyFont="1" applyBorder="1" applyAlignment="1">
      <alignment horizontal="left" vertical="top" wrapText="1"/>
    </xf>
    <xf numFmtId="0" fontId="12" fillId="0" borderId="10" xfId="7" applyNumberFormat="1" applyFont="1" applyBorder="1" applyAlignment="1">
      <alignment horizontal="left" vertical="top" wrapText="1"/>
    </xf>
    <xf numFmtId="0" fontId="11" fillId="0" borderId="11" xfId="7" applyNumberFormat="1" applyFont="1" applyBorder="1" applyAlignment="1">
      <alignment horizontal="left" vertical="top" wrapText="1"/>
    </xf>
    <xf numFmtId="0" fontId="11" fillId="0" borderId="12" xfId="7" applyNumberFormat="1" applyFont="1" applyBorder="1" applyAlignment="1">
      <alignment horizontal="left" vertical="top" wrapText="1"/>
    </xf>
    <xf numFmtId="0" fontId="11" fillId="0" borderId="10" xfId="7" applyNumberFormat="1" applyFont="1" applyBorder="1" applyAlignment="1">
      <alignment horizontal="left" vertical="top" wrapText="1"/>
    </xf>
    <xf numFmtId="0" fontId="12" fillId="0" borderId="0" xfId="7" applyNumberFormat="1" applyFont="1" applyAlignment="1">
      <alignment horizontal="left" vertical="top" wrapText="1"/>
    </xf>
    <xf numFmtId="0" fontId="37" fillId="0" borderId="0" xfId="7" applyNumberFormat="1" applyFont="1" applyBorder="1" applyAlignment="1">
      <alignment horizontal="center" vertical="top" wrapText="1"/>
    </xf>
    <xf numFmtId="0" fontId="12" fillId="0" borderId="0" xfId="7" applyNumberFormat="1" applyBorder="1" applyAlignment="1">
      <alignment horizontal="center" vertical="center"/>
    </xf>
    <xf numFmtId="0" fontId="12" fillId="0" borderId="0" xfId="7" applyNumberFormat="1" applyFont="1" applyAlignment="1">
      <alignment horizontal="left" wrapText="1"/>
    </xf>
    <xf numFmtId="0" fontId="12" fillId="0" borderId="0" xfId="7" applyNumberFormat="1" applyFont="1" applyAlignment="1">
      <alignment horizontal="left"/>
    </xf>
    <xf numFmtId="0" fontId="11" fillId="0" borderId="20" xfId="7" applyNumberFormat="1" applyFont="1" applyBorder="1" applyAlignment="1">
      <alignment horizontal="left" vertical="top" wrapText="1"/>
    </xf>
    <xf numFmtId="0" fontId="11" fillId="0" borderId="22" xfId="7" applyNumberFormat="1" applyFont="1" applyBorder="1" applyAlignment="1">
      <alignment horizontal="left" vertical="top" wrapText="1"/>
    </xf>
    <xf numFmtId="0" fontId="12" fillId="0" borderId="20" xfId="7" applyNumberFormat="1" applyBorder="1" applyAlignment="1">
      <alignment horizontal="left" vertical="top" wrapText="1"/>
    </xf>
    <xf numFmtId="0" fontId="12" fillId="0" borderId="21" xfId="7" applyNumberFormat="1" applyBorder="1" applyAlignment="1">
      <alignment horizontal="left" vertical="top" wrapText="1"/>
    </xf>
    <xf numFmtId="0" fontId="12" fillId="0" borderId="22" xfId="7" applyNumberFormat="1" applyBorder="1" applyAlignment="1">
      <alignment horizontal="left" vertical="top" wrapText="1"/>
    </xf>
  </cellXfs>
  <cellStyles count="18">
    <cellStyle name="Гиперссылка" xfId="5" builtinId="8"/>
    <cellStyle name="Денежный" xfId="16" builtinId="4"/>
    <cellStyle name="Итоги" xfId="4"/>
    <cellStyle name="ЛокСмета" xfId="3"/>
    <cellStyle name="Обычный" xfId="0" builtinId="0"/>
    <cellStyle name="Обычный 10" xfId="11"/>
    <cellStyle name="Обычный 2" xfId="7"/>
    <cellStyle name="Обычный 2 2" xfId="8"/>
    <cellStyle name="Обычный 2 4" xfId="17"/>
    <cellStyle name="Обычный 3" xfId="15"/>
    <cellStyle name="Обычный 5" xfId="13"/>
    <cellStyle name="Обычный 6" xfId="10"/>
    <cellStyle name="Обычный 8" xfId="14"/>
    <cellStyle name="Обычный_ПИР смета" xfId="1"/>
    <cellStyle name="ПИР" xfId="12"/>
    <cellStyle name="Титул" xfId="2"/>
    <cellStyle name="Финансовый 2" xfId="9"/>
    <cellStyle name="Хвост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41;&#1102;&#1088;&#1086;%20&#1043;&#1048;&#1055;\&#1056;&#1040;&#1052;&#1054;&#1063;&#1053;&#1067;&#1049;%20&#1044;&#1054;&#1043;&#1054;&#1042;&#1054;&#1056;\210-48_&#1055;&#1048;&#1056;_508-36-2019_&#1069;&#1085;&#1077;&#1088;&#1075;&#1086;&#1093;&#1080;&#1084;&#1082;&#1086;&#1084;&#1087;&#1083;&#1077;&#1082;&#1090;_&#1050;&#1088;.&#1042;&#1086;&#1089;&#1089;&#1090;&#1072;&#1085;&#1080;&#1103;\&#1057;&#1084;&#1077;&#1090;&#1099;\&#1057;&#1084;&#1077;&#1090;&#1072;%20&#1055;&#1048;&#1056;%20210-48%20&#1069;&#1085;&#1077;&#1088;&#1075;&#1086;&#1093;&#1080;&#1084;&#1082;&#1086;&#1084;&#1087;&#1083;&#1077;&#1082;&#1090;_&#1050;&#1088;.&#1042;&#1086;&#1089;&#1089;&#1090;&#1072;&#1085;&#1080;&#1103;_15.04.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41;&#1102;&#1088;&#1086;%20&#1043;&#1048;&#1055;\&#1056;&#1040;&#1052;&#1054;&#1063;&#1053;&#1067;&#1049;%20&#1044;&#1054;&#1043;&#1054;&#1042;&#1054;&#1056;\210-11-500-38-2017%20&#1041;&#1072;&#1081;&#1082;&#1072;&#1083;&#1100;&#1089;&#1082;&#1072;&#1103;%20&#1076;&#1077;&#1090;&#1089;&#1072;&#1076;\2.%20&#1057;&#1084;&#1077;&#1090;&#1072;%20&#1080;%20&#1050;&#1055;\&#1047;&#1072;&#1103;&#1074;&#1082;&#1072;%20&#1055;&#1048;&#1056;%20210-11%20&#1052;&#1050;&#1059;%20&#1059;&#1050;&#1057;_&#1044;&#1077;&#1090;&#1089;&#1072;&#1076;_&#1041;&#1072;&#1081;&#1082;&#1072;&#1083;&#1100;&#1089;&#1082;&#1072;&#1103;%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41;&#1102;&#1088;&#1086;%20&#1043;&#1048;&#1055;\!!!&#1050;&#1086;&#1085;&#1082;&#1091;&#1088;&#1089;&#1099;\&#1041;&#1040;&#1049;&#1050;&#1040;&#1051;&#1068;&#1057;&#1050;&#1040;&#1071;%20&#1069;&#1053;&#1045;&#1056;&#1043;&#1045;&#1058;&#1048;&#1063;&#1045;&#1057;&#1050;&#1040;&#1071;%20&#1050;&#1054;&#1052;&#1055;&#1040;&#1053;&#1048;&#1071;\&#1053;&#1048;%20&#1058;&#1069;&#1062;\&#1055;&#1058;&#1054;%20&#1053;&#1048;%20&#1058;&#1069;&#1062;\2022\6%20&#1082;&#1086;&#1083;&#1083;&#1077;&#1082;&#1090;&#1086;&#1088;%20&#1086;&#1090;%20&#1058;&#1050;-21&#1045;%20&#1076;&#1086;%20&#1058;&#1050;-24&#1045;\&#1055;&#1088;&#1080;&#1083;%20-&#1057;&#1084;&#1077;&#1090;&#1072;%20&#1058;&#1055;%20&#1058;&#1050;-21&#1045;%20&#1076;&#1086;%20&#1058;&#1050;-24&#104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41;&#1102;&#1088;&#1086;%20&#1043;&#1048;&#1055;\&#1056;&#1040;&#1052;&#1054;&#1063;&#1053;&#1067;&#1049;%20&#1044;&#1054;&#1043;&#1054;&#1042;&#1054;&#1056;%20&#1057;%20&#1041;&#1069;&#1050;\7-104-529%20&#1069;&#1083;&#1080;&#1090;&#1048;&#1085;&#1074;&#1077;&#1089;&#1090;,%20&#1060;&#1072;&#1090;&#1072;&#1083;&#1080;&#1077;&#1074;\&#1057;&#1084;&#1077;&#1090;&#1072;%20&#1055;&#1048;&#1056;%207-104-529%20&#1069;&#1083;&#1080;&#1090;%20&#1048;&#1085;&#1074;&#1077;&#1089;&#1090;,%20&#1060;&#1072;&#1090;&#1072;&#1083;&#1080;&#1077;&#1074;%2010.0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РНЦ"/>
      <sheetName val="1 ИГДИ"/>
      <sheetName val="2 ИГИ"/>
      <sheetName val="3 ИЭИ"/>
      <sheetName val="4 Подеревная"/>
      <sheetName val="5 ОВОС"/>
      <sheetName val="6 ТС"/>
      <sheetName val="7 Согл"/>
      <sheetName val="8 Промывка"/>
      <sheetName val="9 ПОДД"/>
      <sheetName val="10 Благоустр"/>
      <sheetName val="11 Подгот к ОВОС"/>
      <sheetName val="12 эксп ПД и ИИ"/>
      <sheetName val="13 Экол эксперт"/>
      <sheetName val="14 Техсопр"/>
      <sheetName val="15 Доп.экз"/>
    </sheetNames>
    <sheetDataSet>
      <sheetData sheetId="0"/>
      <sheetData sheetId="1">
        <row r="9">
          <cell r="A9" t="str">
            <v xml:space="preserve">  «Тепловая сеть №508-36-2019 до границ земельного участка Заявителя»</v>
          </cell>
        </row>
        <row r="22">
          <cell r="B22" t="str">
            <v>Инженерно-геодезические изыскания</v>
          </cell>
        </row>
        <row r="23">
          <cell r="B23" t="str">
            <v>Инженерно-геологические изыскания</v>
          </cell>
        </row>
        <row r="24">
          <cell r="B24" t="str">
            <v>Инженерно-экологические изыскания</v>
          </cell>
        </row>
        <row r="28">
          <cell r="B28" t="str">
            <v xml:space="preserve">Согласование </v>
          </cell>
        </row>
        <row r="29">
          <cell r="B29" t="str">
            <v>Программа, схема промывки дезинфекция, согласование</v>
          </cell>
        </row>
        <row r="30">
          <cell r="B30" t="str">
            <v>Проект организации дорожного движения</v>
          </cell>
        </row>
        <row r="31">
          <cell r="B31" t="str">
            <v>Восстановление благоустройства и озеленения, восстановление дорожной разметки</v>
          </cell>
        </row>
        <row r="33">
          <cell r="B33" t="str">
            <v>Экспертиза проектной документации и результатов инженерных изысканий *</v>
          </cell>
        </row>
        <row r="34">
          <cell r="B34" t="str">
            <v>Государственная экологическая экспертиза ПД и ИИ *</v>
          </cell>
        </row>
      </sheetData>
      <sheetData sheetId="2">
        <row r="21">
          <cell r="T21">
            <v>12</v>
          </cell>
        </row>
      </sheetData>
      <sheetData sheetId="3">
        <row r="19">
          <cell r="D19">
            <v>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РНЦ"/>
      <sheetName val="Геод 1"/>
      <sheetName val="геология 2  (2)"/>
      <sheetName val="ЭКО изыск3 "/>
      <sheetName val="ОВОС4"/>
      <sheetName val="ТС5 "/>
      <sheetName val="Согл6"/>
      <sheetName val="Промыв7"/>
      <sheetName val="ПОДД 8"/>
      <sheetName val="Благ9"/>
      <sheetName val="АВТ10"/>
      <sheetName val="материалы общест обсужд11"/>
      <sheetName val="эксп ПД и ИИ 12"/>
      <sheetName val="Эк экс13"/>
      <sheetName val="доп. экз 14"/>
      <sheetName val="техсопровождение15"/>
    </sheetNames>
    <sheetDataSet>
      <sheetData sheetId="0"/>
      <sheetData sheetId="1">
        <row r="22">
          <cell r="M22">
            <v>77452.675893223204</v>
          </cell>
        </row>
        <row r="35">
          <cell r="B35" t="str">
            <v>Дополнительные экземпляры (п. 3.10 МУ по применению СБЦ приказ №620 от 29.12.2009г)</v>
          </cell>
        </row>
        <row r="36">
          <cell r="B36" t="str">
            <v>Техническое сопровождение государственной экологической экспертизы ПД и ИИ, экспертизы ПД и ИИ (затраты связанные с организацией экспертиз, транспортные, почтовые и пр.)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Кал план"/>
      <sheetName val="сводная"/>
      <sheetName val="1 геодез"/>
      <sheetName val="2 Гидрометео"/>
      <sheetName val="3 Оценка вреда биоресурсам"/>
      <sheetName val="1 ИГДИ"/>
      <sheetName val="2 ИГИ"/>
      <sheetName val="3 Генплан"/>
      <sheetName val="4 Согласование"/>
      <sheetName val="5 Временная ГВС"/>
      <sheetName val="9 Инж-археологич изыскания"/>
      <sheetName val="6 тепловая сеть"/>
      <sheetName val="7 Програм промывки"/>
      <sheetName val="18 ГОЧС"/>
      <sheetName val="8 ПОДД"/>
      <sheetName val="9 Дендроплан"/>
      <sheetName val="10 Обследов ТК"/>
      <sheetName val="11 доп экз"/>
      <sheetName val="12 ЭПБ"/>
      <sheetName val="13 Тех сопр ЭПБ"/>
      <sheetName val="Прил 1 к см.11"/>
    </sheetNames>
    <sheetDataSet>
      <sheetData sheetId="0"/>
      <sheetData sheetId="1"/>
      <sheetData sheetId="2">
        <row r="12">
          <cell r="A12" t="str">
            <v xml:space="preserve">Разработку проектной и рабочей документации по объекту:
«Тепловые сети 6 коллектора от ТК-19Е до ТК-32Е по ул. Петрова, по ул. Рабочего Штаба» инв. №22130516 Техническое перевооружение.
Участок тепловой сети 6 коллектора от ТК-21Е до ТК-24Е»
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РНЦ"/>
      <sheetName val="1 ИГДИ"/>
      <sheetName val="2 ИГИ"/>
      <sheetName val="3 ИЭИ"/>
      <sheetName val="4 ОВОС"/>
      <sheetName val="5 ТС"/>
      <sheetName val="6 Согл"/>
      <sheetName val="7 Промывка"/>
      <sheetName val="8 ПОДД"/>
      <sheetName val="9 Благоустр"/>
      <sheetName val="10 Подготовка к ОВОС"/>
      <sheetName val="11 Подеревная"/>
      <sheetName val="12 ОСОКН"/>
      <sheetName val="13 ИКЭ"/>
      <sheetName val="14 эксп ПД и ИИ"/>
      <sheetName val="15 Экол эксперт"/>
      <sheetName val="16 Техсопр"/>
      <sheetName val="17 Доп.экз"/>
    </sheetNames>
    <sheetDataSet>
      <sheetData sheetId="0" refreshError="1"/>
      <sheetData sheetId="1" refreshError="1">
        <row r="8">
          <cell r="A8" t="str">
            <v>"Тепловая сеть от участка тепловой сети от ТК-15Д до ТК-16Д до границ земельного участка Заявителя"</v>
          </cell>
        </row>
        <row r="22">
          <cell r="B22" t="str">
            <v>Инженерно-геологические изыскания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A11" sqref="A11:I12"/>
    </sheetView>
  </sheetViews>
  <sheetFormatPr defaultRowHeight="15" x14ac:dyDescent="0.25"/>
  <cols>
    <col min="1" max="1" width="9" customWidth="1"/>
    <col min="6" max="6" width="14.28515625" customWidth="1"/>
    <col min="7" max="7" width="15.42578125" customWidth="1"/>
    <col min="8" max="8" width="16.85546875" customWidth="1"/>
    <col min="9" max="9" width="14.28515625" customWidth="1"/>
    <col min="12" max="12" width="12.28515625" customWidth="1"/>
  </cols>
  <sheetData>
    <row r="1" spans="1:9" ht="22.5" customHeight="1" x14ac:dyDescent="0.25">
      <c r="A1" s="283"/>
      <c r="B1" s="283"/>
      <c r="C1" s="283"/>
      <c r="D1" s="283"/>
      <c r="E1" s="183" t="s">
        <v>390</v>
      </c>
      <c r="F1" s="283"/>
      <c r="G1" s="283"/>
      <c r="H1" s="324"/>
      <c r="I1" s="324"/>
    </row>
    <row r="2" spans="1:9" ht="22.5" customHeight="1" x14ac:dyDescent="0.25">
      <c r="A2" s="283"/>
      <c r="B2" s="283"/>
      <c r="C2" s="283"/>
      <c r="D2" s="283"/>
      <c r="E2" s="283"/>
      <c r="F2" s="283"/>
      <c r="G2" s="283"/>
      <c r="H2" s="324"/>
      <c r="I2" s="324"/>
    </row>
    <row r="3" spans="1:9" ht="15" customHeight="1" x14ac:dyDescent="0.25">
      <c r="A3" s="183" t="s">
        <v>122</v>
      </c>
      <c r="B3" s="183"/>
      <c r="C3" s="183"/>
      <c r="D3" s="325"/>
      <c r="E3" s="283"/>
      <c r="F3" s="187"/>
      <c r="G3" s="187"/>
      <c r="H3" s="183" t="s">
        <v>250</v>
      </c>
      <c r="I3" s="187"/>
    </row>
    <row r="4" spans="1:9" ht="15" customHeight="1" x14ac:dyDescent="0.25">
      <c r="A4" s="183" t="s">
        <v>123</v>
      </c>
      <c r="B4" s="183"/>
      <c r="C4" s="183"/>
      <c r="D4" s="325"/>
      <c r="E4" s="283"/>
      <c r="F4" s="187"/>
      <c r="G4" s="187"/>
      <c r="H4" s="183" t="s">
        <v>391</v>
      </c>
      <c r="I4" s="187"/>
    </row>
    <row r="5" spans="1:9" ht="15" customHeight="1" x14ac:dyDescent="0.25">
      <c r="A5" s="183" t="s">
        <v>124</v>
      </c>
      <c r="B5" s="183"/>
      <c r="C5" s="183"/>
      <c r="D5" s="325"/>
      <c r="E5" s="283"/>
      <c r="F5" s="187"/>
      <c r="G5" s="187"/>
      <c r="H5" s="184" t="s">
        <v>392</v>
      </c>
      <c r="I5" s="187"/>
    </row>
    <row r="6" spans="1:9" ht="15" customHeight="1" x14ac:dyDescent="0.25">
      <c r="A6" s="183" t="s">
        <v>251</v>
      </c>
      <c r="B6" s="183"/>
      <c r="C6" s="183"/>
      <c r="D6" s="325"/>
      <c r="E6" s="283"/>
      <c r="F6" s="186"/>
      <c r="G6" s="186"/>
      <c r="H6" s="184" t="s">
        <v>252</v>
      </c>
      <c r="I6" s="186"/>
    </row>
    <row r="7" spans="1:9" ht="15" customHeight="1" x14ac:dyDescent="0.25">
      <c r="A7" s="183" t="s">
        <v>384</v>
      </c>
      <c r="B7" s="183"/>
      <c r="C7" s="183"/>
      <c r="D7" s="325"/>
      <c r="E7" s="283"/>
      <c r="F7" s="186"/>
      <c r="G7" s="186"/>
      <c r="H7" s="184" t="s">
        <v>384</v>
      </c>
      <c r="I7" s="186"/>
    </row>
    <row r="8" spans="1:9" ht="15" customHeight="1" x14ac:dyDescent="0.25">
      <c r="A8" s="281"/>
      <c r="B8" s="281"/>
      <c r="C8" s="282"/>
      <c r="D8" s="282"/>
      <c r="E8" s="282"/>
      <c r="F8" s="282"/>
      <c r="G8" s="270"/>
      <c r="H8" s="234"/>
    </row>
    <row r="9" spans="1:9" x14ac:dyDescent="0.25">
      <c r="A9" s="281"/>
      <c r="B9" s="281"/>
      <c r="C9" s="282"/>
      <c r="D9" s="282"/>
      <c r="E9" s="282"/>
      <c r="F9" s="282"/>
      <c r="G9" s="282"/>
      <c r="H9" s="282"/>
    </row>
    <row r="10" spans="1:9" ht="24" customHeight="1" x14ac:dyDescent="0.25">
      <c r="A10" s="378" t="s">
        <v>376</v>
      </c>
      <c r="B10" s="378"/>
      <c r="C10" s="378"/>
      <c r="D10" s="378"/>
      <c r="E10" s="378"/>
      <c r="F10" s="378"/>
      <c r="G10" s="378"/>
      <c r="H10" s="378"/>
      <c r="I10" s="378"/>
    </row>
    <row r="11" spans="1:9" x14ac:dyDescent="0.25">
      <c r="A11" s="377" t="s">
        <v>346</v>
      </c>
      <c r="B11" s="378"/>
      <c r="C11" s="378"/>
      <c r="D11" s="378"/>
      <c r="E11" s="378"/>
      <c r="F11" s="378"/>
      <c r="G11" s="378"/>
      <c r="H11" s="378"/>
      <c r="I11" s="378"/>
    </row>
    <row r="12" spans="1:9" ht="45.75" customHeight="1" x14ac:dyDescent="0.25">
      <c r="A12" s="379"/>
      <c r="B12" s="379"/>
      <c r="C12" s="379"/>
      <c r="D12" s="379"/>
      <c r="E12" s="379"/>
      <c r="F12" s="379"/>
      <c r="G12" s="379"/>
      <c r="H12" s="379"/>
      <c r="I12" s="379"/>
    </row>
    <row r="13" spans="1:9" s="283" customFormat="1" ht="14.25" customHeight="1" x14ac:dyDescent="0.2">
      <c r="A13" s="360" t="s">
        <v>377</v>
      </c>
      <c r="B13" s="362" t="s">
        <v>378</v>
      </c>
      <c r="C13" s="363"/>
      <c r="D13" s="363"/>
      <c r="E13" s="363"/>
      <c r="F13" s="364"/>
      <c r="G13" s="360" t="s">
        <v>379</v>
      </c>
      <c r="H13" s="368" t="s">
        <v>380</v>
      </c>
      <c r="I13" s="369"/>
    </row>
    <row r="14" spans="1:9" s="283" customFormat="1" ht="28.5" x14ac:dyDescent="0.2">
      <c r="A14" s="361"/>
      <c r="B14" s="365"/>
      <c r="C14" s="366"/>
      <c r="D14" s="366"/>
      <c r="E14" s="366"/>
      <c r="F14" s="367"/>
      <c r="G14" s="361"/>
      <c r="H14" s="284" t="s">
        <v>381</v>
      </c>
      <c r="I14" s="285" t="s">
        <v>382</v>
      </c>
    </row>
    <row r="15" spans="1:9" s="283" customFormat="1" ht="14.25" x14ac:dyDescent="0.2">
      <c r="A15" s="286">
        <v>1</v>
      </c>
      <c r="B15" s="287"/>
      <c r="C15" s="288"/>
      <c r="D15" s="288">
        <v>2</v>
      </c>
      <c r="E15" s="288"/>
      <c r="F15" s="289"/>
      <c r="G15" s="289">
        <v>3</v>
      </c>
      <c r="H15" s="290">
        <v>4</v>
      </c>
      <c r="I15" s="291">
        <v>5</v>
      </c>
    </row>
    <row r="16" spans="1:9" s="283" customFormat="1" ht="27.75" customHeight="1" x14ac:dyDescent="0.2">
      <c r="A16" s="292">
        <v>1</v>
      </c>
      <c r="B16" s="372" t="str">
        <f>[5]РНЦ!B22</f>
        <v>Инженерно-геодезические изыскания</v>
      </c>
      <c r="C16" s="373"/>
      <c r="D16" s="373"/>
      <c r="E16" s="373"/>
      <c r="F16" s="374"/>
      <c r="G16" s="293" t="e">
        <f>#REF!</f>
        <v>#REF!</v>
      </c>
      <c r="H16" s="370" t="s">
        <v>387</v>
      </c>
      <c r="I16" s="294">
        <v>44160</v>
      </c>
    </row>
    <row r="17" spans="1:11" s="283" customFormat="1" ht="27.75" customHeight="1" x14ac:dyDescent="0.2">
      <c r="A17" s="292">
        <v>2</v>
      </c>
      <c r="B17" s="372" t="str">
        <f>[5]РНЦ!B23</f>
        <v>Инженерно-геологические изыскания</v>
      </c>
      <c r="C17" s="373"/>
      <c r="D17" s="373"/>
      <c r="E17" s="373"/>
      <c r="F17" s="374"/>
      <c r="G17" s="293" t="e">
        <f>#REF!</f>
        <v>#REF!</v>
      </c>
      <c r="H17" s="371"/>
      <c r="I17" s="294">
        <v>44190</v>
      </c>
    </row>
    <row r="18" spans="1:11" s="283" customFormat="1" ht="27.75" customHeight="1" x14ac:dyDescent="0.2">
      <c r="A18" s="292">
        <v>3</v>
      </c>
      <c r="B18" s="372" t="str">
        <f>[5]РНЦ!B24</f>
        <v>Инженерно-экологические изыскания</v>
      </c>
      <c r="C18" s="373"/>
      <c r="D18" s="373"/>
      <c r="E18" s="373"/>
      <c r="F18" s="374"/>
      <c r="G18" s="293" t="e">
        <f>#REF!</f>
        <v>#REF!</v>
      </c>
      <c r="H18" s="294">
        <v>40481</v>
      </c>
      <c r="I18" s="294">
        <v>44190</v>
      </c>
    </row>
    <row r="19" spans="1:11" s="283" customFormat="1" ht="75" customHeight="1" x14ac:dyDescent="0.2">
      <c r="A19" s="292">
        <v>4</v>
      </c>
      <c r="B19" s="372" t="s">
        <v>375</v>
      </c>
      <c r="C19" s="373"/>
      <c r="D19" s="373"/>
      <c r="E19" s="373"/>
      <c r="F19" s="374"/>
      <c r="G19" s="293" t="e">
        <f>#REF!</f>
        <v>#REF!</v>
      </c>
      <c r="H19" s="294">
        <v>44160</v>
      </c>
      <c r="I19" s="294">
        <v>44252</v>
      </c>
      <c r="K19" s="295"/>
    </row>
    <row r="20" spans="1:11" s="283" customFormat="1" ht="27.75" customHeight="1" x14ac:dyDescent="0.2">
      <c r="A20" s="292">
        <v>5</v>
      </c>
      <c r="B20" s="372" t="s">
        <v>255</v>
      </c>
      <c r="C20" s="373"/>
      <c r="D20" s="373"/>
      <c r="E20" s="373"/>
      <c r="F20" s="374"/>
      <c r="G20" s="293" t="e">
        <f>#REF!</f>
        <v>#REF!</v>
      </c>
      <c r="H20" s="294">
        <v>44280</v>
      </c>
      <c r="I20" s="294">
        <v>44341</v>
      </c>
      <c r="K20" s="295"/>
    </row>
    <row r="21" spans="1:11" s="283" customFormat="1" ht="27.75" customHeight="1" x14ac:dyDescent="0.2">
      <c r="A21" s="292">
        <v>6</v>
      </c>
      <c r="B21" s="372" t="s">
        <v>386</v>
      </c>
      <c r="C21" s="373"/>
      <c r="D21" s="373"/>
      <c r="E21" s="373"/>
      <c r="F21" s="374"/>
      <c r="G21" s="293" t="e">
        <f>#REF!/2</f>
        <v>#REF!</v>
      </c>
      <c r="H21" s="296">
        <v>44190</v>
      </c>
      <c r="I21" s="294">
        <v>44252</v>
      </c>
    </row>
    <row r="22" spans="1:11" s="283" customFormat="1" ht="27.75" customHeight="1" x14ac:dyDescent="0.2">
      <c r="A22" s="292">
        <v>7</v>
      </c>
      <c r="B22" s="372" t="s">
        <v>385</v>
      </c>
      <c r="C22" s="373"/>
      <c r="D22" s="373"/>
      <c r="E22" s="373"/>
      <c r="F22" s="374"/>
      <c r="G22" s="293" t="e">
        <f>#REF!/2</f>
        <v>#REF!</v>
      </c>
      <c r="H22" s="296">
        <v>44252</v>
      </c>
      <c r="I22" s="294">
        <v>44311</v>
      </c>
    </row>
    <row r="23" spans="1:11" s="283" customFormat="1" ht="27.75" customHeight="1" x14ac:dyDescent="0.2">
      <c r="A23" s="292">
        <v>8</v>
      </c>
      <c r="B23" s="372" t="s">
        <v>388</v>
      </c>
      <c r="C23" s="373"/>
      <c r="D23" s="373"/>
      <c r="E23" s="373"/>
      <c r="F23" s="374"/>
      <c r="G23" s="293" t="e">
        <f>#REF!</f>
        <v>#REF!</v>
      </c>
      <c r="H23" s="296">
        <v>44280</v>
      </c>
      <c r="I23" s="294">
        <v>44341</v>
      </c>
    </row>
    <row r="24" spans="1:11" s="283" customFormat="1" ht="27.75" customHeight="1" x14ac:dyDescent="0.2">
      <c r="A24" s="292">
        <v>9</v>
      </c>
      <c r="B24" s="372" t="str">
        <f>[5]РНЦ!B28</f>
        <v xml:space="preserve">Согласование </v>
      </c>
      <c r="C24" s="373"/>
      <c r="D24" s="373"/>
      <c r="E24" s="373"/>
      <c r="F24" s="374"/>
      <c r="G24" s="293" t="e">
        <f>#REF!</f>
        <v>#REF!</v>
      </c>
      <c r="H24" s="296">
        <v>44221</v>
      </c>
      <c r="I24" s="294">
        <v>44341</v>
      </c>
    </row>
    <row r="25" spans="1:11" s="283" customFormat="1" ht="33.75" customHeight="1" x14ac:dyDescent="0.2">
      <c r="A25" s="292">
        <v>10</v>
      </c>
      <c r="B25" s="372" t="str">
        <f>[5]РНЦ!B29</f>
        <v>Программа, схема промывки дезинфекция, согласование</v>
      </c>
      <c r="C25" s="373"/>
      <c r="D25" s="373"/>
      <c r="E25" s="373"/>
      <c r="F25" s="374"/>
      <c r="G25" s="293" t="e">
        <f>#REF!</f>
        <v>#REF!</v>
      </c>
      <c r="H25" s="296">
        <v>44221</v>
      </c>
      <c r="I25" s="294">
        <v>44252</v>
      </c>
    </row>
    <row r="26" spans="1:11" s="283" customFormat="1" ht="27.75" customHeight="1" x14ac:dyDescent="0.2">
      <c r="A26" s="292">
        <v>11</v>
      </c>
      <c r="B26" s="372" t="e">
        <f>#REF!</f>
        <v>#REF!</v>
      </c>
      <c r="C26" s="373"/>
      <c r="D26" s="373"/>
      <c r="E26" s="373"/>
      <c r="F26" s="374"/>
      <c r="G26" s="293" t="e">
        <f>#REF!</f>
        <v>#REF!</v>
      </c>
      <c r="H26" s="296">
        <v>44221</v>
      </c>
      <c r="I26" s="294">
        <v>44252</v>
      </c>
    </row>
    <row r="27" spans="1:11" s="283" customFormat="1" ht="27.75" customHeight="1" x14ac:dyDescent="0.2">
      <c r="A27" s="292">
        <v>12</v>
      </c>
      <c r="B27" s="372" t="str">
        <f>[5]РНЦ!B30</f>
        <v>Проект организации дорожного движения</v>
      </c>
      <c r="C27" s="373"/>
      <c r="D27" s="373"/>
      <c r="E27" s="373"/>
      <c r="F27" s="374"/>
      <c r="G27" s="293" t="e">
        <f>#REF!</f>
        <v>#REF!</v>
      </c>
      <c r="H27" s="296">
        <v>44252</v>
      </c>
      <c r="I27" s="294">
        <v>44341</v>
      </c>
    </row>
    <row r="28" spans="1:11" s="283" customFormat="1" ht="27.75" customHeight="1" x14ac:dyDescent="0.2">
      <c r="A28" s="292">
        <v>13</v>
      </c>
      <c r="B28" s="380" t="s">
        <v>352</v>
      </c>
      <c r="C28" s="381"/>
      <c r="D28" s="381"/>
      <c r="E28" s="381"/>
      <c r="F28" s="382"/>
      <c r="G28" s="293" t="e">
        <f>#REF!</f>
        <v>#REF!</v>
      </c>
      <c r="H28" s="296">
        <v>44190</v>
      </c>
      <c r="I28" s="294">
        <v>44372</v>
      </c>
    </row>
    <row r="29" spans="1:11" s="283" customFormat="1" ht="27.75" customHeight="1" x14ac:dyDescent="0.2">
      <c r="A29" s="292">
        <v>14</v>
      </c>
      <c r="B29" s="380" t="s">
        <v>362</v>
      </c>
      <c r="C29" s="381" t="s">
        <v>362</v>
      </c>
      <c r="D29" s="381" t="s">
        <v>362</v>
      </c>
      <c r="E29" s="381" t="s">
        <v>362</v>
      </c>
      <c r="F29" s="382" t="s">
        <v>362</v>
      </c>
      <c r="G29" s="293" t="e">
        <f>#REF!</f>
        <v>#REF!</v>
      </c>
      <c r="H29" s="296">
        <v>44190</v>
      </c>
      <c r="I29" s="294">
        <v>44372</v>
      </c>
    </row>
    <row r="30" spans="1:11" s="283" customFormat="1" ht="48" customHeight="1" x14ac:dyDescent="0.2">
      <c r="A30" s="292">
        <v>15</v>
      </c>
      <c r="B30" s="372" t="e">
        <f>#REF!</f>
        <v>#REF!</v>
      </c>
      <c r="C30" s="373"/>
      <c r="D30" s="373"/>
      <c r="E30" s="373"/>
      <c r="F30" s="374"/>
      <c r="G30" s="293" t="e">
        <f>#REF!</f>
        <v>#REF!</v>
      </c>
      <c r="H30" s="296">
        <v>44221</v>
      </c>
      <c r="I30" s="294">
        <v>44280</v>
      </c>
    </row>
    <row r="31" spans="1:11" s="283" customFormat="1" ht="35.25" customHeight="1" x14ac:dyDescent="0.2">
      <c r="A31" s="292">
        <v>16</v>
      </c>
      <c r="B31" s="372" t="str">
        <f>[5]РНЦ!B31</f>
        <v>Восстановление благоустройства и озеленения, восстановление дорожной разметки</v>
      </c>
      <c r="C31" s="373"/>
      <c r="D31" s="373"/>
      <c r="E31" s="373"/>
      <c r="F31" s="374"/>
      <c r="G31" s="293" t="e">
        <f>#REF!</f>
        <v>#REF!</v>
      </c>
      <c r="H31" s="296">
        <v>44252</v>
      </c>
      <c r="I31" s="294">
        <v>44280</v>
      </c>
    </row>
    <row r="32" spans="1:11" s="283" customFormat="1" ht="27.75" customHeight="1" x14ac:dyDescent="0.2">
      <c r="A32" s="292">
        <v>17</v>
      </c>
      <c r="B32" s="372" t="str">
        <f>[5]РНЦ!B33</f>
        <v>Экспертиза проектной документации и результатов инженерных изысканий *</v>
      </c>
      <c r="C32" s="373"/>
      <c r="D32" s="373"/>
      <c r="E32" s="373"/>
      <c r="F32" s="374"/>
      <c r="G32" s="293" t="e">
        <f>#REF!</f>
        <v>#REF!</v>
      </c>
      <c r="H32" s="296">
        <v>44372</v>
      </c>
      <c r="I32" s="294">
        <v>44433</v>
      </c>
    </row>
    <row r="33" spans="1:12" s="283" customFormat="1" ht="27.75" customHeight="1" x14ac:dyDescent="0.2">
      <c r="A33" s="292">
        <v>18</v>
      </c>
      <c r="B33" s="372" t="str">
        <f>[5]РНЦ!B34</f>
        <v>Государственная экологическая экспертиза ПД и ИИ *</v>
      </c>
      <c r="C33" s="373"/>
      <c r="D33" s="373"/>
      <c r="E33" s="373"/>
      <c r="F33" s="374"/>
      <c r="G33" s="293" t="e">
        <f>#REF!</f>
        <v>#REF!</v>
      </c>
      <c r="H33" s="296">
        <v>44352</v>
      </c>
      <c r="I33" s="294">
        <v>44433</v>
      </c>
    </row>
    <row r="34" spans="1:12" s="283" customFormat="1" ht="27.75" customHeight="1" x14ac:dyDescent="0.2">
      <c r="A34" s="292">
        <v>19</v>
      </c>
      <c r="B34" s="372" t="str">
        <f>[6]РНЦ!B35</f>
        <v>Дополнительные экземпляры (п. 3.10 МУ по применению СБЦ приказ №620 от 29.12.2009г)</v>
      </c>
      <c r="C34" s="373"/>
      <c r="D34" s="373"/>
      <c r="E34" s="373"/>
      <c r="F34" s="374"/>
      <c r="G34" s="293" t="e">
        <f>#REF!</f>
        <v>#REF!</v>
      </c>
      <c r="H34" s="296">
        <v>44409</v>
      </c>
      <c r="I34" s="294">
        <v>44433</v>
      </c>
    </row>
    <row r="35" spans="1:12" s="283" customFormat="1" ht="51" customHeight="1" x14ac:dyDescent="0.2">
      <c r="A35" s="292">
        <v>20</v>
      </c>
      <c r="B35" s="372" t="str">
        <f>[6]РНЦ!B36</f>
        <v>Техническое сопровождение государственной экологической экспертизы ПД и ИИ, экспертизы ПД и ИИ (затраты связанные с организацией экспертиз, транспортные, почтовые и пр.)</v>
      </c>
      <c r="C35" s="373"/>
      <c r="D35" s="373"/>
      <c r="E35" s="373"/>
      <c r="F35" s="374"/>
      <c r="G35" s="293" t="e">
        <f>#REF!</f>
        <v>#REF!</v>
      </c>
      <c r="H35" s="296">
        <v>44352</v>
      </c>
      <c r="I35" s="294">
        <v>44433</v>
      </c>
    </row>
    <row r="36" spans="1:12" s="283" customFormat="1" x14ac:dyDescent="0.2">
      <c r="A36" s="297"/>
      <c r="B36" s="383" t="s">
        <v>64</v>
      </c>
      <c r="C36" s="384"/>
      <c r="D36" s="384"/>
      <c r="E36" s="384"/>
      <c r="F36" s="385"/>
      <c r="G36" s="149" t="e">
        <f>SUM(G16:G35)</f>
        <v>#REF!</v>
      </c>
      <c r="H36" s="298"/>
      <c r="I36" s="299"/>
    </row>
    <row r="37" spans="1:12" s="283" customFormat="1" x14ac:dyDescent="0.2">
      <c r="A37" s="300"/>
      <c r="B37" s="301"/>
      <c r="C37" s="301"/>
      <c r="D37" s="301"/>
      <c r="E37" s="301"/>
      <c r="F37" s="301"/>
      <c r="G37" s="302"/>
      <c r="H37" s="303"/>
      <c r="I37" s="304"/>
    </row>
    <row r="38" spans="1:12" x14ac:dyDescent="0.25">
      <c r="A38" s="386" t="s">
        <v>383</v>
      </c>
      <c r="B38" s="386"/>
      <c r="C38" s="386"/>
      <c r="D38" s="386"/>
      <c r="E38" s="386"/>
      <c r="F38" s="386"/>
      <c r="G38" s="386"/>
      <c r="H38" s="386"/>
      <c r="I38" s="386"/>
    </row>
    <row r="39" spans="1:12" x14ac:dyDescent="0.25">
      <c r="A39" s="375"/>
      <c r="B39" s="376"/>
      <c r="C39" s="376"/>
      <c r="D39" s="376"/>
      <c r="E39" s="376"/>
      <c r="F39" s="376"/>
      <c r="G39" s="376"/>
      <c r="H39" s="376"/>
    </row>
    <row r="40" spans="1:12" x14ac:dyDescent="0.25">
      <c r="A40" s="375"/>
      <c r="B40" s="376"/>
      <c r="C40" s="376"/>
      <c r="D40" s="376"/>
      <c r="E40" s="376"/>
      <c r="F40" s="376"/>
      <c r="G40" s="376"/>
      <c r="H40" s="376"/>
    </row>
    <row r="41" spans="1:12" x14ac:dyDescent="0.25">
      <c r="A41" s="305"/>
      <c r="B41" s="306" t="s">
        <v>389</v>
      </c>
      <c r="C41" s="307"/>
      <c r="D41" s="308"/>
      <c r="E41" s="305"/>
      <c r="F41" s="305"/>
      <c r="G41" s="305"/>
      <c r="H41" s="309" t="s">
        <v>118</v>
      </c>
    </row>
    <row r="42" spans="1:12" s="317" customFormat="1" ht="15.75" x14ac:dyDescent="0.25">
      <c r="A42" s="274"/>
      <c r="B42" s="310"/>
      <c r="C42" s="310"/>
      <c r="D42" s="311"/>
      <c r="E42" s="312"/>
      <c r="F42" s="313"/>
      <c r="G42" s="308"/>
      <c r="H42" s="309"/>
      <c r="I42" s="314"/>
      <c r="J42" s="315"/>
      <c r="K42" s="315"/>
      <c r="L42" s="316"/>
    </row>
    <row r="43" spans="1:12" x14ac:dyDescent="0.25">
      <c r="A43" s="305"/>
      <c r="B43" s="306" t="s">
        <v>127</v>
      </c>
      <c r="C43" s="305"/>
      <c r="D43" s="318"/>
      <c r="E43" s="319"/>
      <c r="F43" s="320"/>
      <c r="G43" s="305"/>
      <c r="H43" s="312" t="s">
        <v>7</v>
      </c>
    </row>
    <row r="44" spans="1:12" x14ac:dyDescent="0.25">
      <c r="A44" s="321"/>
      <c r="B44" s="322"/>
      <c r="C44" s="322"/>
      <c r="D44" s="322"/>
      <c r="E44" s="322"/>
      <c r="F44" s="322"/>
      <c r="G44" s="322"/>
      <c r="H44" s="305"/>
    </row>
    <row r="45" spans="1:12" x14ac:dyDescent="0.25">
      <c r="A45" s="305"/>
      <c r="B45" s="323"/>
      <c r="C45" s="323"/>
      <c r="D45" s="308"/>
      <c r="E45" s="313"/>
      <c r="F45" s="308"/>
      <c r="G45" s="309"/>
      <c r="H45" s="305"/>
    </row>
    <row r="46" spans="1:12" x14ac:dyDescent="0.25">
      <c r="A46" s="305"/>
      <c r="B46" s="322"/>
      <c r="C46" s="322"/>
      <c r="D46" s="322"/>
      <c r="E46" s="322"/>
      <c r="F46" s="322"/>
      <c r="G46" s="305"/>
      <c r="H46" s="305"/>
    </row>
    <row r="47" spans="1:12" x14ac:dyDescent="0.25">
      <c r="A47" s="305"/>
      <c r="B47" s="323"/>
      <c r="C47" s="307"/>
      <c r="D47" s="308"/>
      <c r="E47" s="313"/>
      <c r="F47" s="308"/>
      <c r="G47" s="305"/>
      <c r="H47" s="305"/>
    </row>
  </sheetData>
  <mergeCells count="31">
    <mergeCell ref="A40:H40"/>
    <mergeCell ref="A11:I12"/>
    <mergeCell ref="A10:I10"/>
    <mergeCell ref="B26:F26"/>
    <mergeCell ref="B29:F29"/>
    <mergeCell ref="B28:F28"/>
    <mergeCell ref="B30:F30"/>
    <mergeCell ref="B33:F33"/>
    <mergeCell ref="B34:F34"/>
    <mergeCell ref="B35:F35"/>
    <mergeCell ref="B36:F36"/>
    <mergeCell ref="A38:I38"/>
    <mergeCell ref="A39:H39"/>
    <mergeCell ref="B23:F23"/>
    <mergeCell ref="B24:F24"/>
    <mergeCell ref="B25:F25"/>
    <mergeCell ref="B27:F27"/>
    <mergeCell ref="B31:F31"/>
    <mergeCell ref="B32:F32"/>
    <mergeCell ref="B18:F18"/>
    <mergeCell ref="B19:F19"/>
    <mergeCell ref="B20:F20"/>
    <mergeCell ref="B21:F21"/>
    <mergeCell ref="B22:F22"/>
    <mergeCell ref="A13:A14"/>
    <mergeCell ref="B13:F14"/>
    <mergeCell ref="G13:G14"/>
    <mergeCell ref="H13:I13"/>
    <mergeCell ref="H16:H17"/>
    <mergeCell ref="B16:F16"/>
    <mergeCell ref="B17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topLeftCell="A7" workbookViewId="0">
      <selection activeCell="A18" sqref="A18:I19"/>
    </sheetView>
  </sheetViews>
  <sheetFormatPr defaultColWidth="9.140625" defaultRowHeight="12.75" x14ac:dyDescent="0.2"/>
  <cols>
    <col min="1" max="6" width="9.140625" style="335"/>
    <col min="7" max="7" width="19.42578125" style="335" customWidth="1"/>
    <col min="8" max="8" width="17.85546875" style="335" customWidth="1"/>
    <col min="9" max="9" width="24.5703125" style="335" customWidth="1"/>
    <col min="10" max="10" width="9.140625" style="335"/>
    <col min="11" max="11" width="12.7109375" style="335" customWidth="1"/>
    <col min="12" max="12" width="9.5703125" style="335" bestFit="1" customWidth="1"/>
    <col min="13" max="16384" width="9.140625" style="335"/>
  </cols>
  <sheetData>
    <row r="1" spans="1:12" x14ac:dyDescent="0.2">
      <c r="D1" s="335" t="s">
        <v>398</v>
      </c>
    </row>
    <row r="2" spans="1:12" ht="15" x14ac:dyDescent="0.25">
      <c r="A2" s="334"/>
      <c r="B2" s="334"/>
      <c r="C2" s="334"/>
      <c r="D2" s="334"/>
      <c r="E2" s="334"/>
      <c r="F2" s="334"/>
      <c r="G2" s="334"/>
      <c r="H2" s="334"/>
      <c r="I2" s="334"/>
      <c r="J2" s="280"/>
      <c r="K2" s="280"/>
    </row>
    <row r="3" spans="1:12" ht="16.5" x14ac:dyDescent="0.25">
      <c r="A3" s="326" t="s">
        <v>122</v>
      </c>
      <c r="B3" s="328"/>
      <c r="C3" s="327"/>
      <c r="D3" s="336"/>
      <c r="E3" s="337"/>
      <c r="F3" s="338"/>
      <c r="H3" s="271" t="s">
        <v>0</v>
      </c>
      <c r="I3" s="277"/>
      <c r="J3" s="276"/>
      <c r="K3" s="276"/>
    </row>
    <row r="4" spans="1:12" ht="15" customHeight="1" x14ac:dyDescent="0.25">
      <c r="A4" s="329" t="s">
        <v>253</v>
      </c>
      <c r="B4" s="329"/>
      <c r="C4" s="327"/>
      <c r="D4" s="339"/>
      <c r="E4" s="270"/>
      <c r="F4" s="340"/>
      <c r="H4" s="399" t="s">
        <v>394</v>
      </c>
      <c r="I4" s="399"/>
      <c r="J4" s="350"/>
      <c r="K4" s="350"/>
    </row>
    <row r="5" spans="1:12" ht="47.25" customHeight="1" x14ac:dyDescent="0.25">
      <c r="A5" s="306" t="s">
        <v>124</v>
      </c>
      <c r="B5" s="306"/>
      <c r="C5" s="327"/>
      <c r="D5" s="339"/>
      <c r="E5" s="341"/>
      <c r="F5" s="342"/>
      <c r="H5" s="399"/>
      <c r="I5" s="399"/>
      <c r="J5" s="350"/>
      <c r="K5" s="350"/>
    </row>
    <row r="6" spans="1:12" ht="16.5" x14ac:dyDescent="0.25">
      <c r="A6" s="330" t="s">
        <v>395</v>
      </c>
      <c r="B6" s="330"/>
      <c r="C6" s="331"/>
      <c r="D6" s="333"/>
      <c r="E6" s="270"/>
      <c r="F6" s="338"/>
      <c r="H6" s="271" t="s">
        <v>3</v>
      </c>
      <c r="I6" s="272"/>
      <c r="J6" s="273"/>
      <c r="K6" s="278"/>
    </row>
    <row r="7" spans="1:12" ht="16.5" x14ac:dyDescent="0.25">
      <c r="A7" s="184" t="s">
        <v>396</v>
      </c>
      <c r="B7" s="332"/>
      <c r="C7" s="331"/>
      <c r="D7" s="333"/>
      <c r="E7" s="270"/>
      <c r="F7" s="338"/>
      <c r="H7" s="271" t="s">
        <v>393</v>
      </c>
      <c r="I7" s="272"/>
      <c r="J7" s="273"/>
      <c r="K7" s="278"/>
    </row>
    <row r="8" spans="1:12" ht="15" x14ac:dyDescent="0.25">
      <c r="A8" s="343"/>
      <c r="B8" s="343"/>
      <c r="C8" s="341"/>
      <c r="D8" s="341"/>
      <c r="E8" s="341"/>
      <c r="F8" s="341"/>
      <c r="G8" s="341"/>
    </row>
    <row r="9" spans="1:12" ht="15" x14ac:dyDescent="0.25">
      <c r="A9" s="343"/>
      <c r="B9" s="343"/>
      <c r="C9" s="341"/>
      <c r="D9" s="341"/>
      <c r="E9" s="341"/>
      <c r="F9" s="341"/>
      <c r="G9" s="341"/>
      <c r="H9" s="341"/>
      <c r="I9" s="341"/>
    </row>
    <row r="10" spans="1:12" ht="14.25" x14ac:dyDescent="0.2">
      <c r="A10" s="387" t="s">
        <v>376</v>
      </c>
      <c r="B10" s="387"/>
      <c r="C10" s="387"/>
      <c r="D10" s="387"/>
      <c r="E10" s="387"/>
      <c r="F10" s="387"/>
      <c r="G10" s="387"/>
      <c r="H10" s="387"/>
      <c r="I10" s="387"/>
    </row>
    <row r="11" spans="1:12" ht="21.75" customHeight="1" x14ac:dyDescent="0.25">
      <c r="A11" s="388" t="s">
        <v>397</v>
      </c>
      <c r="B11" s="388"/>
      <c r="C11" s="388"/>
      <c r="D11" s="388"/>
      <c r="E11" s="388"/>
      <c r="F11" s="388"/>
      <c r="G11" s="388"/>
      <c r="H11" s="388"/>
      <c r="I11" s="388"/>
    </row>
    <row r="12" spans="1:12" ht="21" customHeight="1" x14ac:dyDescent="0.2">
      <c r="A12" s="400" t="str">
        <f>[7]сводная!A12</f>
        <v xml:space="preserve">Разработку проектной и рабочей документации по объекту:
«Тепловые сети 6 коллектора от ТК-19Е до ТК-32Е по ул. Петрова, по ул. Рабочего Штаба» инв. №22130516 Техническое перевооружение.
Участок тепловой сети 6 коллектора от ТК-21Е до ТК-24Е»
</v>
      </c>
      <c r="B12" s="400"/>
      <c r="C12" s="400"/>
      <c r="D12" s="400"/>
      <c r="E12" s="400"/>
      <c r="F12" s="400"/>
      <c r="G12" s="400"/>
      <c r="H12" s="400"/>
      <c r="I12" s="400"/>
    </row>
    <row r="13" spans="1:12" ht="35.25" customHeight="1" x14ac:dyDescent="0.2">
      <c r="A13" s="401"/>
      <c r="B13" s="401"/>
      <c r="C13" s="401"/>
      <c r="D13" s="401"/>
      <c r="E13" s="401"/>
      <c r="F13" s="401"/>
      <c r="G13" s="401"/>
      <c r="H13" s="401"/>
      <c r="I13" s="401"/>
    </row>
    <row r="14" spans="1:12" ht="14.25" x14ac:dyDescent="0.2">
      <c r="A14" s="389" t="s">
        <v>377</v>
      </c>
      <c r="B14" s="391" t="s">
        <v>378</v>
      </c>
      <c r="C14" s="392"/>
      <c r="D14" s="392"/>
      <c r="E14" s="392"/>
      <c r="F14" s="393"/>
      <c r="G14" s="389" t="s">
        <v>379</v>
      </c>
      <c r="H14" s="397" t="s">
        <v>380</v>
      </c>
      <c r="I14" s="398"/>
    </row>
    <row r="15" spans="1:12" ht="14.25" x14ac:dyDescent="0.2">
      <c r="A15" s="390"/>
      <c r="B15" s="394"/>
      <c r="C15" s="395"/>
      <c r="D15" s="395"/>
      <c r="E15" s="395"/>
      <c r="F15" s="396"/>
      <c r="G15" s="390"/>
      <c r="H15" s="344" t="s">
        <v>381</v>
      </c>
      <c r="I15" s="345" t="s">
        <v>382</v>
      </c>
    </row>
    <row r="16" spans="1:12" ht="14.25" x14ac:dyDescent="0.2">
      <c r="A16" s="354">
        <v>1</v>
      </c>
      <c r="B16" s="355"/>
      <c r="C16" s="356"/>
      <c r="D16" s="356">
        <v>2</v>
      </c>
      <c r="E16" s="356"/>
      <c r="F16" s="357"/>
      <c r="G16" s="357">
        <v>3</v>
      </c>
      <c r="H16" s="358">
        <v>4</v>
      </c>
      <c r="I16" s="359">
        <v>5</v>
      </c>
      <c r="K16" s="346"/>
      <c r="L16" s="283"/>
    </row>
    <row r="17" spans="1:12" ht="15" x14ac:dyDescent="0.2">
      <c r="A17" s="347">
        <v>2</v>
      </c>
      <c r="B17" s="402" t="str">
        <f>[8]РНЦ!B22</f>
        <v>Инженерно-геологические изыскания</v>
      </c>
      <c r="C17" s="403"/>
      <c r="D17" s="403"/>
      <c r="E17" s="403"/>
      <c r="F17" s="404"/>
      <c r="G17" s="351"/>
      <c r="H17" s="348">
        <v>44711</v>
      </c>
      <c r="I17" s="352">
        <v>44742</v>
      </c>
      <c r="K17" s="346"/>
      <c r="L17" s="283"/>
    </row>
    <row r="18" spans="1:12" x14ac:dyDescent="0.2">
      <c r="A18" s="406"/>
      <c r="B18" s="406"/>
      <c r="C18" s="406"/>
      <c r="D18" s="406"/>
      <c r="E18" s="406"/>
      <c r="F18" s="406"/>
      <c r="G18" s="406"/>
      <c r="H18" s="406"/>
      <c r="I18" s="406"/>
    </row>
    <row r="19" spans="1:12" ht="27.75" customHeight="1" x14ac:dyDescent="0.2">
      <c r="A19" s="407"/>
      <c r="B19" s="407"/>
      <c r="C19" s="407"/>
      <c r="D19" s="407"/>
      <c r="E19" s="407"/>
      <c r="F19" s="407"/>
      <c r="G19" s="407"/>
      <c r="H19" s="407"/>
      <c r="I19" s="407"/>
    </row>
    <row r="20" spans="1:12" s="283" customFormat="1" ht="15.75" x14ac:dyDescent="0.25">
      <c r="A20" s="405"/>
      <c r="B20" s="405"/>
      <c r="C20" s="405"/>
      <c r="D20" s="405"/>
      <c r="E20" s="353"/>
      <c r="G20" s="279"/>
      <c r="H20" s="185"/>
      <c r="I20" s="275"/>
    </row>
    <row r="21" spans="1:12" s="283" customFormat="1" ht="15.75" x14ac:dyDescent="0.25">
      <c r="A21" s="353"/>
      <c r="B21" s="353"/>
      <c r="C21" s="353"/>
      <c r="D21" s="353"/>
      <c r="E21" s="353"/>
      <c r="F21" s="353"/>
      <c r="G21" s="279"/>
      <c r="H21" s="185"/>
      <c r="I21" s="349"/>
    </row>
    <row r="22" spans="1:12" s="283" customFormat="1" ht="15.75" x14ac:dyDescent="0.25">
      <c r="A22" s="405"/>
      <c r="B22" s="405"/>
      <c r="C22" s="405"/>
      <c r="D22" s="405"/>
      <c r="E22" s="353"/>
      <c r="G22" s="279"/>
      <c r="H22" s="185"/>
      <c r="I22" s="275"/>
    </row>
    <row r="23" spans="1:12" ht="15" x14ac:dyDescent="0.2">
      <c r="A23" s="276"/>
      <c r="B23" s="276"/>
      <c r="C23" s="276"/>
      <c r="D23" s="276"/>
      <c r="E23" s="276"/>
      <c r="F23" s="276"/>
      <c r="G23" s="276"/>
    </row>
  </sheetData>
  <mergeCells count="12">
    <mergeCell ref="H4:I5"/>
    <mergeCell ref="A12:I13"/>
    <mergeCell ref="B17:F17"/>
    <mergeCell ref="A22:D22"/>
    <mergeCell ref="A18:I19"/>
    <mergeCell ref="A20:D20"/>
    <mergeCell ref="A10:I10"/>
    <mergeCell ref="A11:I11"/>
    <mergeCell ref="A14:A15"/>
    <mergeCell ref="B14:F15"/>
    <mergeCell ref="G14:G15"/>
    <mergeCell ref="H14:I14"/>
  </mergeCells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X50"/>
  <sheetViews>
    <sheetView topLeftCell="A16" workbookViewId="0">
      <selection activeCell="T24" sqref="T24"/>
    </sheetView>
  </sheetViews>
  <sheetFormatPr defaultRowHeight="15" x14ac:dyDescent="0.25"/>
  <cols>
    <col min="1" max="1" width="4.85546875" customWidth="1"/>
    <col min="3" max="3" width="23.42578125" customWidth="1"/>
    <col min="4" max="4" width="0.85546875" customWidth="1"/>
    <col min="5" max="5" width="7.140625" customWidth="1"/>
    <col min="6" max="6" width="6.28515625" customWidth="1"/>
    <col min="7" max="7" width="8.28515625" customWidth="1"/>
    <col min="8" max="8" width="7.5703125" customWidth="1"/>
    <col min="9" max="9" width="2.42578125" customWidth="1"/>
    <col min="10" max="10" width="8.28515625" customWidth="1"/>
    <col min="11" max="11" width="2.28515625" customWidth="1"/>
    <col min="12" max="12" width="5.85546875" customWidth="1"/>
    <col min="13" max="13" width="1.85546875" customWidth="1"/>
    <col min="14" max="14" width="5.42578125" customWidth="1"/>
    <col min="15" max="15" width="2" hidden="1" customWidth="1"/>
    <col min="16" max="16" width="4.5703125" hidden="1" customWidth="1"/>
    <col min="17" max="17" width="13.7109375" customWidth="1"/>
    <col min="20" max="20" width="15.28515625" customWidth="1"/>
    <col min="21" max="21" width="13.42578125" customWidth="1"/>
    <col min="23" max="23" width="19.5703125" customWidth="1"/>
    <col min="24" max="24" width="22.28515625" customWidth="1"/>
    <col min="257" max="257" width="4.85546875" customWidth="1"/>
    <col min="259" max="259" width="23.42578125" customWidth="1"/>
    <col min="260" max="260" width="0.85546875" customWidth="1"/>
    <col min="261" max="261" width="7.140625" customWidth="1"/>
    <col min="262" max="262" width="6.28515625" customWidth="1"/>
    <col min="263" max="263" width="8.28515625" customWidth="1"/>
    <col min="264" max="264" width="7.5703125" customWidth="1"/>
    <col min="265" max="265" width="2.42578125" customWidth="1"/>
    <col min="266" max="266" width="6.5703125" customWidth="1"/>
    <col min="267" max="267" width="2.28515625" customWidth="1"/>
    <col min="268" max="268" width="5.85546875" customWidth="1"/>
    <col min="269" max="269" width="1.85546875" customWidth="1"/>
    <col min="270" max="270" width="5.42578125" customWidth="1"/>
    <col min="271" max="272" width="9.140625" hidden="1" customWidth="1"/>
    <col min="273" max="273" width="13.7109375" customWidth="1"/>
    <col min="513" max="513" width="4.85546875" customWidth="1"/>
    <col min="515" max="515" width="23.42578125" customWidth="1"/>
    <col min="516" max="516" width="0.85546875" customWidth="1"/>
    <col min="517" max="517" width="7.140625" customWidth="1"/>
    <col min="518" max="518" width="6.28515625" customWidth="1"/>
    <col min="519" max="519" width="8.28515625" customWidth="1"/>
    <col min="520" max="520" width="7.5703125" customWidth="1"/>
    <col min="521" max="521" width="2.42578125" customWidth="1"/>
    <col min="522" max="522" width="6.5703125" customWidth="1"/>
    <col min="523" max="523" width="2.28515625" customWidth="1"/>
    <col min="524" max="524" width="5.85546875" customWidth="1"/>
    <col min="525" max="525" width="1.85546875" customWidth="1"/>
    <col min="526" max="526" width="5.42578125" customWidth="1"/>
    <col min="527" max="528" width="9.140625" hidden="1" customWidth="1"/>
    <col min="529" max="529" width="13.7109375" customWidth="1"/>
    <col min="769" max="769" width="4.85546875" customWidth="1"/>
    <col min="771" max="771" width="23.42578125" customWidth="1"/>
    <col min="772" max="772" width="0.85546875" customWidth="1"/>
    <col min="773" max="773" width="7.140625" customWidth="1"/>
    <col min="774" max="774" width="6.28515625" customWidth="1"/>
    <col min="775" max="775" width="8.28515625" customWidth="1"/>
    <col min="776" max="776" width="7.5703125" customWidth="1"/>
    <col min="777" max="777" width="2.42578125" customWidth="1"/>
    <col min="778" max="778" width="6.5703125" customWidth="1"/>
    <col min="779" max="779" width="2.28515625" customWidth="1"/>
    <col min="780" max="780" width="5.85546875" customWidth="1"/>
    <col min="781" max="781" width="1.85546875" customWidth="1"/>
    <col min="782" max="782" width="5.42578125" customWidth="1"/>
    <col min="783" max="784" width="9.140625" hidden="1" customWidth="1"/>
    <col min="785" max="785" width="13.7109375" customWidth="1"/>
    <col min="1025" max="1025" width="4.85546875" customWidth="1"/>
    <col min="1027" max="1027" width="23.42578125" customWidth="1"/>
    <col min="1028" max="1028" width="0.85546875" customWidth="1"/>
    <col min="1029" max="1029" width="7.140625" customWidth="1"/>
    <col min="1030" max="1030" width="6.28515625" customWidth="1"/>
    <col min="1031" max="1031" width="8.28515625" customWidth="1"/>
    <col min="1032" max="1032" width="7.5703125" customWidth="1"/>
    <col min="1033" max="1033" width="2.42578125" customWidth="1"/>
    <col min="1034" max="1034" width="6.5703125" customWidth="1"/>
    <col min="1035" max="1035" width="2.28515625" customWidth="1"/>
    <col min="1036" max="1036" width="5.85546875" customWidth="1"/>
    <col min="1037" max="1037" width="1.85546875" customWidth="1"/>
    <col min="1038" max="1038" width="5.42578125" customWidth="1"/>
    <col min="1039" max="1040" width="9.140625" hidden="1" customWidth="1"/>
    <col min="1041" max="1041" width="13.7109375" customWidth="1"/>
    <col min="1281" max="1281" width="4.85546875" customWidth="1"/>
    <col min="1283" max="1283" width="23.42578125" customWidth="1"/>
    <col min="1284" max="1284" width="0.85546875" customWidth="1"/>
    <col min="1285" max="1285" width="7.140625" customWidth="1"/>
    <col min="1286" max="1286" width="6.28515625" customWidth="1"/>
    <col min="1287" max="1287" width="8.28515625" customWidth="1"/>
    <col min="1288" max="1288" width="7.5703125" customWidth="1"/>
    <col min="1289" max="1289" width="2.42578125" customWidth="1"/>
    <col min="1290" max="1290" width="6.5703125" customWidth="1"/>
    <col min="1291" max="1291" width="2.28515625" customWidth="1"/>
    <col min="1292" max="1292" width="5.85546875" customWidth="1"/>
    <col min="1293" max="1293" width="1.85546875" customWidth="1"/>
    <col min="1294" max="1294" width="5.42578125" customWidth="1"/>
    <col min="1295" max="1296" width="9.140625" hidden="1" customWidth="1"/>
    <col min="1297" max="1297" width="13.7109375" customWidth="1"/>
    <col min="1537" max="1537" width="4.85546875" customWidth="1"/>
    <col min="1539" max="1539" width="23.42578125" customWidth="1"/>
    <col min="1540" max="1540" width="0.85546875" customWidth="1"/>
    <col min="1541" max="1541" width="7.140625" customWidth="1"/>
    <col min="1542" max="1542" width="6.28515625" customWidth="1"/>
    <col min="1543" max="1543" width="8.28515625" customWidth="1"/>
    <col min="1544" max="1544" width="7.5703125" customWidth="1"/>
    <col min="1545" max="1545" width="2.42578125" customWidth="1"/>
    <col min="1546" max="1546" width="6.5703125" customWidth="1"/>
    <col min="1547" max="1547" width="2.28515625" customWidth="1"/>
    <col min="1548" max="1548" width="5.85546875" customWidth="1"/>
    <col min="1549" max="1549" width="1.85546875" customWidth="1"/>
    <col min="1550" max="1550" width="5.42578125" customWidth="1"/>
    <col min="1551" max="1552" width="9.140625" hidden="1" customWidth="1"/>
    <col min="1553" max="1553" width="13.7109375" customWidth="1"/>
    <col min="1793" max="1793" width="4.85546875" customWidth="1"/>
    <col min="1795" max="1795" width="23.42578125" customWidth="1"/>
    <col min="1796" max="1796" width="0.85546875" customWidth="1"/>
    <col min="1797" max="1797" width="7.140625" customWidth="1"/>
    <col min="1798" max="1798" width="6.28515625" customWidth="1"/>
    <col min="1799" max="1799" width="8.28515625" customWidth="1"/>
    <col min="1800" max="1800" width="7.5703125" customWidth="1"/>
    <col min="1801" max="1801" width="2.42578125" customWidth="1"/>
    <col min="1802" max="1802" width="6.5703125" customWidth="1"/>
    <col min="1803" max="1803" width="2.28515625" customWidth="1"/>
    <col min="1804" max="1804" width="5.85546875" customWidth="1"/>
    <col min="1805" max="1805" width="1.85546875" customWidth="1"/>
    <col min="1806" max="1806" width="5.42578125" customWidth="1"/>
    <col min="1807" max="1808" width="9.140625" hidden="1" customWidth="1"/>
    <col min="1809" max="1809" width="13.7109375" customWidth="1"/>
    <col min="2049" max="2049" width="4.85546875" customWidth="1"/>
    <col min="2051" max="2051" width="23.42578125" customWidth="1"/>
    <col min="2052" max="2052" width="0.85546875" customWidth="1"/>
    <col min="2053" max="2053" width="7.140625" customWidth="1"/>
    <col min="2054" max="2054" width="6.28515625" customWidth="1"/>
    <col min="2055" max="2055" width="8.28515625" customWidth="1"/>
    <col min="2056" max="2056" width="7.5703125" customWidth="1"/>
    <col min="2057" max="2057" width="2.42578125" customWidth="1"/>
    <col min="2058" max="2058" width="6.5703125" customWidth="1"/>
    <col min="2059" max="2059" width="2.28515625" customWidth="1"/>
    <col min="2060" max="2060" width="5.85546875" customWidth="1"/>
    <col min="2061" max="2061" width="1.85546875" customWidth="1"/>
    <col min="2062" max="2062" width="5.42578125" customWidth="1"/>
    <col min="2063" max="2064" width="9.140625" hidden="1" customWidth="1"/>
    <col min="2065" max="2065" width="13.7109375" customWidth="1"/>
    <col min="2305" max="2305" width="4.85546875" customWidth="1"/>
    <col min="2307" max="2307" width="23.42578125" customWidth="1"/>
    <col min="2308" max="2308" width="0.85546875" customWidth="1"/>
    <col min="2309" max="2309" width="7.140625" customWidth="1"/>
    <col min="2310" max="2310" width="6.28515625" customWidth="1"/>
    <col min="2311" max="2311" width="8.28515625" customWidth="1"/>
    <col min="2312" max="2312" width="7.5703125" customWidth="1"/>
    <col min="2313" max="2313" width="2.42578125" customWidth="1"/>
    <col min="2314" max="2314" width="6.5703125" customWidth="1"/>
    <col min="2315" max="2315" width="2.28515625" customWidth="1"/>
    <col min="2316" max="2316" width="5.85546875" customWidth="1"/>
    <col min="2317" max="2317" width="1.85546875" customWidth="1"/>
    <col min="2318" max="2318" width="5.42578125" customWidth="1"/>
    <col min="2319" max="2320" width="9.140625" hidden="1" customWidth="1"/>
    <col min="2321" max="2321" width="13.7109375" customWidth="1"/>
    <col min="2561" max="2561" width="4.85546875" customWidth="1"/>
    <col min="2563" max="2563" width="23.42578125" customWidth="1"/>
    <col min="2564" max="2564" width="0.85546875" customWidth="1"/>
    <col min="2565" max="2565" width="7.140625" customWidth="1"/>
    <col min="2566" max="2566" width="6.28515625" customWidth="1"/>
    <col min="2567" max="2567" width="8.28515625" customWidth="1"/>
    <col min="2568" max="2568" width="7.5703125" customWidth="1"/>
    <col min="2569" max="2569" width="2.42578125" customWidth="1"/>
    <col min="2570" max="2570" width="6.5703125" customWidth="1"/>
    <col min="2571" max="2571" width="2.28515625" customWidth="1"/>
    <col min="2572" max="2572" width="5.85546875" customWidth="1"/>
    <col min="2573" max="2573" width="1.85546875" customWidth="1"/>
    <col min="2574" max="2574" width="5.42578125" customWidth="1"/>
    <col min="2575" max="2576" width="9.140625" hidden="1" customWidth="1"/>
    <col min="2577" max="2577" width="13.7109375" customWidth="1"/>
    <col min="2817" max="2817" width="4.85546875" customWidth="1"/>
    <col min="2819" max="2819" width="23.42578125" customWidth="1"/>
    <col min="2820" max="2820" width="0.85546875" customWidth="1"/>
    <col min="2821" max="2821" width="7.140625" customWidth="1"/>
    <col min="2822" max="2822" width="6.28515625" customWidth="1"/>
    <col min="2823" max="2823" width="8.28515625" customWidth="1"/>
    <col min="2824" max="2824" width="7.5703125" customWidth="1"/>
    <col min="2825" max="2825" width="2.42578125" customWidth="1"/>
    <col min="2826" max="2826" width="6.5703125" customWidth="1"/>
    <col min="2827" max="2827" width="2.28515625" customWidth="1"/>
    <col min="2828" max="2828" width="5.85546875" customWidth="1"/>
    <col min="2829" max="2829" width="1.85546875" customWidth="1"/>
    <col min="2830" max="2830" width="5.42578125" customWidth="1"/>
    <col min="2831" max="2832" width="9.140625" hidden="1" customWidth="1"/>
    <col min="2833" max="2833" width="13.7109375" customWidth="1"/>
    <col min="3073" max="3073" width="4.85546875" customWidth="1"/>
    <col min="3075" max="3075" width="23.42578125" customWidth="1"/>
    <col min="3076" max="3076" width="0.85546875" customWidth="1"/>
    <col min="3077" max="3077" width="7.140625" customWidth="1"/>
    <col min="3078" max="3078" width="6.28515625" customWidth="1"/>
    <col min="3079" max="3079" width="8.28515625" customWidth="1"/>
    <col min="3080" max="3080" width="7.5703125" customWidth="1"/>
    <col min="3081" max="3081" width="2.42578125" customWidth="1"/>
    <col min="3082" max="3082" width="6.5703125" customWidth="1"/>
    <col min="3083" max="3083" width="2.28515625" customWidth="1"/>
    <col min="3084" max="3084" width="5.85546875" customWidth="1"/>
    <col min="3085" max="3085" width="1.85546875" customWidth="1"/>
    <col min="3086" max="3086" width="5.42578125" customWidth="1"/>
    <col min="3087" max="3088" width="9.140625" hidden="1" customWidth="1"/>
    <col min="3089" max="3089" width="13.7109375" customWidth="1"/>
    <col min="3329" max="3329" width="4.85546875" customWidth="1"/>
    <col min="3331" max="3331" width="23.42578125" customWidth="1"/>
    <col min="3332" max="3332" width="0.85546875" customWidth="1"/>
    <col min="3333" max="3333" width="7.140625" customWidth="1"/>
    <col min="3334" max="3334" width="6.28515625" customWidth="1"/>
    <col min="3335" max="3335" width="8.28515625" customWidth="1"/>
    <col min="3336" max="3336" width="7.5703125" customWidth="1"/>
    <col min="3337" max="3337" width="2.42578125" customWidth="1"/>
    <col min="3338" max="3338" width="6.5703125" customWidth="1"/>
    <col min="3339" max="3339" width="2.28515625" customWidth="1"/>
    <col min="3340" max="3340" width="5.85546875" customWidth="1"/>
    <col min="3341" max="3341" width="1.85546875" customWidth="1"/>
    <col min="3342" max="3342" width="5.42578125" customWidth="1"/>
    <col min="3343" max="3344" width="9.140625" hidden="1" customWidth="1"/>
    <col min="3345" max="3345" width="13.7109375" customWidth="1"/>
    <col min="3585" max="3585" width="4.85546875" customWidth="1"/>
    <col min="3587" max="3587" width="23.42578125" customWidth="1"/>
    <col min="3588" max="3588" width="0.85546875" customWidth="1"/>
    <col min="3589" max="3589" width="7.140625" customWidth="1"/>
    <col min="3590" max="3590" width="6.28515625" customWidth="1"/>
    <col min="3591" max="3591" width="8.28515625" customWidth="1"/>
    <col min="3592" max="3592" width="7.5703125" customWidth="1"/>
    <col min="3593" max="3593" width="2.42578125" customWidth="1"/>
    <col min="3594" max="3594" width="6.5703125" customWidth="1"/>
    <col min="3595" max="3595" width="2.28515625" customWidth="1"/>
    <col min="3596" max="3596" width="5.85546875" customWidth="1"/>
    <col min="3597" max="3597" width="1.85546875" customWidth="1"/>
    <col min="3598" max="3598" width="5.42578125" customWidth="1"/>
    <col min="3599" max="3600" width="9.140625" hidden="1" customWidth="1"/>
    <col min="3601" max="3601" width="13.7109375" customWidth="1"/>
    <col min="3841" max="3841" width="4.85546875" customWidth="1"/>
    <col min="3843" max="3843" width="23.42578125" customWidth="1"/>
    <col min="3844" max="3844" width="0.85546875" customWidth="1"/>
    <col min="3845" max="3845" width="7.140625" customWidth="1"/>
    <col min="3846" max="3846" width="6.28515625" customWidth="1"/>
    <col min="3847" max="3847" width="8.28515625" customWidth="1"/>
    <col min="3848" max="3848" width="7.5703125" customWidth="1"/>
    <col min="3849" max="3849" width="2.42578125" customWidth="1"/>
    <col min="3850" max="3850" width="6.5703125" customWidth="1"/>
    <col min="3851" max="3851" width="2.28515625" customWidth="1"/>
    <col min="3852" max="3852" width="5.85546875" customWidth="1"/>
    <col min="3853" max="3853" width="1.85546875" customWidth="1"/>
    <col min="3854" max="3854" width="5.42578125" customWidth="1"/>
    <col min="3855" max="3856" width="9.140625" hidden="1" customWidth="1"/>
    <col min="3857" max="3857" width="13.7109375" customWidth="1"/>
    <col min="4097" max="4097" width="4.85546875" customWidth="1"/>
    <col min="4099" max="4099" width="23.42578125" customWidth="1"/>
    <col min="4100" max="4100" width="0.85546875" customWidth="1"/>
    <col min="4101" max="4101" width="7.140625" customWidth="1"/>
    <col min="4102" max="4102" width="6.28515625" customWidth="1"/>
    <col min="4103" max="4103" width="8.28515625" customWidth="1"/>
    <col min="4104" max="4104" width="7.5703125" customWidth="1"/>
    <col min="4105" max="4105" width="2.42578125" customWidth="1"/>
    <col min="4106" max="4106" width="6.5703125" customWidth="1"/>
    <col min="4107" max="4107" width="2.28515625" customWidth="1"/>
    <col min="4108" max="4108" width="5.85546875" customWidth="1"/>
    <col min="4109" max="4109" width="1.85546875" customWidth="1"/>
    <col min="4110" max="4110" width="5.42578125" customWidth="1"/>
    <col min="4111" max="4112" width="9.140625" hidden="1" customWidth="1"/>
    <col min="4113" max="4113" width="13.7109375" customWidth="1"/>
    <col min="4353" max="4353" width="4.85546875" customWidth="1"/>
    <col min="4355" max="4355" width="23.42578125" customWidth="1"/>
    <col min="4356" max="4356" width="0.85546875" customWidth="1"/>
    <col min="4357" max="4357" width="7.140625" customWidth="1"/>
    <col min="4358" max="4358" width="6.28515625" customWidth="1"/>
    <col min="4359" max="4359" width="8.28515625" customWidth="1"/>
    <col min="4360" max="4360" width="7.5703125" customWidth="1"/>
    <col min="4361" max="4361" width="2.42578125" customWidth="1"/>
    <col min="4362" max="4362" width="6.5703125" customWidth="1"/>
    <col min="4363" max="4363" width="2.28515625" customWidth="1"/>
    <col min="4364" max="4364" width="5.85546875" customWidth="1"/>
    <col min="4365" max="4365" width="1.85546875" customWidth="1"/>
    <col min="4366" max="4366" width="5.42578125" customWidth="1"/>
    <col min="4367" max="4368" width="9.140625" hidden="1" customWidth="1"/>
    <col min="4369" max="4369" width="13.7109375" customWidth="1"/>
    <col min="4609" max="4609" width="4.85546875" customWidth="1"/>
    <col min="4611" max="4611" width="23.42578125" customWidth="1"/>
    <col min="4612" max="4612" width="0.85546875" customWidth="1"/>
    <col min="4613" max="4613" width="7.140625" customWidth="1"/>
    <col min="4614" max="4614" width="6.28515625" customWidth="1"/>
    <col min="4615" max="4615" width="8.28515625" customWidth="1"/>
    <col min="4616" max="4616" width="7.5703125" customWidth="1"/>
    <col min="4617" max="4617" width="2.42578125" customWidth="1"/>
    <col min="4618" max="4618" width="6.5703125" customWidth="1"/>
    <col min="4619" max="4619" width="2.28515625" customWidth="1"/>
    <col min="4620" max="4620" width="5.85546875" customWidth="1"/>
    <col min="4621" max="4621" width="1.85546875" customWidth="1"/>
    <col min="4622" max="4622" width="5.42578125" customWidth="1"/>
    <col min="4623" max="4624" width="9.140625" hidden="1" customWidth="1"/>
    <col min="4625" max="4625" width="13.7109375" customWidth="1"/>
    <col min="4865" max="4865" width="4.85546875" customWidth="1"/>
    <col min="4867" max="4867" width="23.42578125" customWidth="1"/>
    <col min="4868" max="4868" width="0.85546875" customWidth="1"/>
    <col min="4869" max="4869" width="7.140625" customWidth="1"/>
    <col min="4870" max="4870" width="6.28515625" customWidth="1"/>
    <col min="4871" max="4871" width="8.28515625" customWidth="1"/>
    <col min="4872" max="4872" width="7.5703125" customWidth="1"/>
    <col min="4873" max="4873" width="2.42578125" customWidth="1"/>
    <col min="4874" max="4874" width="6.5703125" customWidth="1"/>
    <col min="4875" max="4875" width="2.28515625" customWidth="1"/>
    <col min="4876" max="4876" width="5.85546875" customWidth="1"/>
    <col min="4877" max="4877" width="1.85546875" customWidth="1"/>
    <col min="4878" max="4878" width="5.42578125" customWidth="1"/>
    <col min="4879" max="4880" width="9.140625" hidden="1" customWidth="1"/>
    <col min="4881" max="4881" width="13.7109375" customWidth="1"/>
    <col min="5121" max="5121" width="4.85546875" customWidth="1"/>
    <col min="5123" max="5123" width="23.42578125" customWidth="1"/>
    <col min="5124" max="5124" width="0.85546875" customWidth="1"/>
    <col min="5125" max="5125" width="7.140625" customWidth="1"/>
    <col min="5126" max="5126" width="6.28515625" customWidth="1"/>
    <col min="5127" max="5127" width="8.28515625" customWidth="1"/>
    <col min="5128" max="5128" width="7.5703125" customWidth="1"/>
    <col min="5129" max="5129" width="2.42578125" customWidth="1"/>
    <col min="5130" max="5130" width="6.5703125" customWidth="1"/>
    <col min="5131" max="5131" width="2.28515625" customWidth="1"/>
    <col min="5132" max="5132" width="5.85546875" customWidth="1"/>
    <col min="5133" max="5133" width="1.85546875" customWidth="1"/>
    <col min="5134" max="5134" width="5.42578125" customWidth="1"/>
    <col min="5135" max="5136" width="9.140625" hidden="1" customWidth="1"/>
    <col min="5137" max="5137" width="13.7109375" customWidth="1"/>
    <col min="5377" max="5377" width="4.85546875" customWidth="1"/>
    <col min="5379" max="5379" width="23.42578125" customWidth="1"/>
    <col min="5380" max="5380" width="0.85546875" customWidth="1"/>
    <col min="5381" max="5381" width="7.140625" customWidth="1"/>
    <col min="5382" max="5382" width="6.28515625" customWidth="1"/>
    <col min="5383" max="5383" width="8.28515625" customWidth="1"/>
    <col min="5384" max="5384" width="7.5703125" customWidth="1"/>
    <col min="5385" max="5385" width="2.42578125" customWidth="1"/>
    <col min="5386" max="5386" width="6.5703125" customWidth="1"/>
    <col min="5387" max="5387" width="2.28515625" customWidth="1"/>
    <col min="5388" max="5388" width="5.85546875" customWidth="1"/>
    <col min="5389" max="5389" width="1.85546875" customWidth="1"/>
    <col min="5390" max="5390" width="5.42578125" customWidth="1"/>
    <col min="5391" max="5392" width="9.140625" hidden="1" customWidth="1"/>
    <col min="5393" max="5393" width="13.7109375" customWidth="1"/>
    <col min="5633" max="5633" width="4.85546875" customWidth="1"/>
    <col min="5635" max="5635" width="23.42578125" customWidth="1"/>
    <col min="5636" max="5636" width="0.85546875" customWidth="1"/>
    <col min="5637" max="5637" width="7.140625" customWidth="1"/>
    <col min="5638" max="5638" width="6.28515625" customWidth="1"/>
    <col min="5639" max="5639" width="8.28515625" customWidth="1"/>
    <col min="5640" max="5640" width="7.5703125" customWidth="1"/>
    <col min="5641" max="5641" width="2.42578125" customWidth="1"/>
    <col min="5642" max="5642" width="6.5703125" customWidth="1"/>
    <col min="5643" max="5643" width="2.28515625" customWidth="1"/>
    <col min="5644" max="5644" width="5.85546875" customWidth="1"/>
    <col min="5645" max="5645" width="1.85546875" customWidth="1"/>
    <col min="5646" max="5646" width="5.42578125" customWidth="1"/>
    <col min="5647" max="5648" width="9.140625" hidden="1" customWidth="1"/>
    <col min="5649" max="5649" width="13.7109375" customWidth="1"/>
    <col min="5889" max="5889" width="4.85546875" customWidth="1"/>
    <col min="5891" max="5891" width="23.42578125" customWidth="1"/>
    <col min="5892" max="5892" width="0.85546875" customWidth="1"/>
    <col min="5893" max="5893" width="7.140625" customWidth="1"/>
    <col min="5894" max="5894" width="6.28515625" customWidth="1"/>
    <col min="5895" max="5895" width="8.28515625" customWidth="1"/>
    <col min="5896" max="5896" width="7.5703125" customWidth="1"/>
    <col min="5897" max="5897" width="2.42578125" customWidth="1"/>
    <col min="5898" max="5898" width="6.5703125" customWidth="1"/>
    <col min="5899" max="5899" width="2.28515625" customWidth="1"/>
    <col min="5900" max="5900" width="5.85546875" customWidth="1"/>
    <col min="5901" max="5901" width="1.85546875" customWidth="1"/>
    <col min="5902" max="5902" width="5.42578125" customWidth="1"/>
    <col min="5903" max="5904" width="9.140625" hidden="1" customWidth="1"/>
    <col min="5905" max="5905" width="13.7109375" customWidth="1"/>
    <col min="6145" max="6145" width="4.85546875" customWidth="1"/>
    <col min="6147" max="6147" width="23.42578125" customWidth="1"/>
    <col min="6148" max="6148" width="0.85546875" customWidth="1"/>
    <col min="6149" max="6149" width="7.140625" customWidth="1"/>
    <col min="6150" max="6150" width="6.28515625" customWidth="1"/>
    <col min="6151" max="6151" width="8.28515625" customWidth="1"/>
    <col min="6152" max="6152" width="7.5703125" customWidth="1"/>
    <col min="6153" max="6153" width="2.42578125" customWidth="1"/>
    <col min="6154" max="6154" width="6.5703125" customWidth="1"/>
    <col min="6155" max="6155" width="2.28515625" customWidth="1"/>
    <col min="6156" max="6156" width="5.85546875" customWidth="1"/>
    <col min="6157" max="6157" width="1.85546875" customWidth="1"/>
    <col min="6158" max="6158" width="5.42578125" customWidth="1"/>
    <col min="6159" max="6160" width="9.140625" hidden="1" customWidth="1"/>
    <col min="6161" max="6161" width="13.7109375" customWidth="1"/>
    <col min="6401" max="6401" width="4.85546875" customWidth="1"/>
    <col min="6403" max="6403" width="23.42578125" customWidth="1"/>
    <col min="6404" max="6404" width="0.85546875" customWidth="1"/>
    <col min="6405" max="6405" width="7.140625" customWidth="1"/>
    <col min="6406" max="6406" width="6.28515625" customWidth="1"/>
    <col min="6407" max="6407" width="8.28515625" customWidth="1"/>
    <col min="6408" max="6408" width="7.5703125" customWidth="1"/>
    <col min="6409" max="6409" width="2.42578125" customWidth="1"/>
    <col min="6410" max="6410" width="6.5703125" customWidth="1"/>
    <col min="6411" max="6411" width="2.28515625" customWidth="1"/>
    <col min="6412" max="6412" width="5.85546875" customWidth="1"/>
    <col min="6413" max="6413" width="1.85546875" customWidth="1"/>
    <col min="6414" max="6414" width="5.42578125" customWidth="1"/>
    <col min="6415" max="6416" width="9.140625" hidden="1" customWidth="1"/>
    <col min="6417" max="6417" width="13.7109375" customWidth="1"/>
    <col min="6657" max="6657" width="4.85546875" customWidth="1"/>
    <col min="6659" max="6659" width="23.42578125" customWidth="1"/>
    <col min="6660" max="6660" width="0.85546875" customWidth="1"/>
    <col min="6661" max="6661" width="7.140625" customWidth="1"/>
    <col min="6662" max="6662" width="6.28515625" customWidth="1"/>
    <col min="6663" max="6663" width="8.28515625" customWidth="1"/>
    <col min="6664" max="6664" width="7.5703125" customWidth="1"/>
    <col min="6665" max="6665" width="2.42578125" customWidth="1"/>
    <col min="6666" max="6666" width="6.5703125" customWidth="1"/>
    <col min="6667" max="6667" width="2.28515625" customWidth="1"/>
    <col min="6668" max="6668" width="5.85546875" customWidth="1"/>
    <col min="6669" max="6669" width="1.85546875" customWidth="1"/>
    <col min="6670" max="6670" width="5.42578125" customWidth="1"/>
    <col min="6671" max="6672" width="9.140625" hidden="1" customWidth="1"/>
    <col min="6673" max="6673" width="13.7109375" customWidth="1"/>
    <col min="6913" max="6913" width="4.85546875" customWidth="1"/>
    <col min="6915" max="6915" width="23.42578125" customWidth="1"/>
    <col min="6916" max="6916" width="0.85546875" customWidth="1"/>
    <col min="6917" max="6917" width="7.140625" customWidth="1"/>
    <col min="6918" max="6918" width="6.28515625" customWidth="1"/>
    <col min="6919" max="6919" width="8.28515625" customWidth="1"/>
    <col min="6920" max="6920" width="7.5703125" customWidth="1"/>
    <col min="6921" max="6921" width="2.42578125" customWidth="1"/>
    <col min="6922" max="6922" width="6.5703125" customWidth="1"/>
    <col min="6923" max="6923" width="2.28515625" customWidth="1"/>
    <col min="6924" max="6924" width="5.85546875" customWidth="1"/>
    <col min="6925" max="6925" width="1.85546875" customWidth="1"/>
    <col min="6926" max="6926" width="5.42578125" customWidth="1"/>
    <col min="6927" max="6928" width="9.140625" hidden="1" customWidth="1"/>
    <col min="6929" max="6929" width="13.7109375" customWidth="1"/>
    <col min="7169" max="7169" width="4.85546875" customWidth="1"/>
    <col min="7171" max="7171" width="23.42578125" customWidth="1"/>
    <col min="7172" max="7172" width="0.85546875" customWidth="1"/>
    <col min="7173" max="7173" width="7.140625" customWidth="1"/>
    <col min="7174" max="7174" width="6.28515625" customWidth="1"/>
    <col min="7175" max="7175" width="8.28515625" customWidth="1"/>
    <col min="7176" max="7176" width="7.5703125" customWidth="1"/>
    <col min="7177" max="7177" width="2.42578125" customWidth="1"/>
    <col min="7178" max="7178" width="6.5703125" customWidth="1"/>
    <col min="7179" max="7179" width="2.28515625" customWidth="1"/>
    <col min="7180" max="7180" width="5.85546875" customWidth="1"/>
    <col min="7181" max="7181" width="1.85546875" customWidth="1"/>
    <col min="7182" max="7182" width="5.42578125" customWidth="1"/>
    <col min="7183" max="7184" width="9.140625" hidden="1" customWidth="1"/>
    <col min="7185" max="7185" width="13.7109375" customWidth="1"/>
    <col min="7425" max="7425" width="4.85546875" customWidth="1"/>
    <col min="7427" max="7427" width="23.42578125" customWidth="1"/>
    <col min="7428" max="7428" width="0.85546875" customWidth="1"/>
    <col min="7429" max="7429" width="7.140625" customWidth="1"/>
    <col min="7430" max="7430" width="6.28515625" customWidth="1"/>
    <col min="7431" max="7431" width="8.28515625" customWidth="1"/>
    <col min="7432" max="7432" width="7.5703125" customWidth="1"/>
    <col min="7433" max="7433" width="2.42578125" customWidth="1"/>
    <col min="7434" max="7434" width="6.5703125" customWidth="1"/>
    <col min="7435" max="7435" width="2.28515625" customWidth="1"/>
    <col min="7436" max="7436" width="5.85546875" customWidth="1"/>
    <col min="7437" max="7437" width="1.85546875" customWidth="1"/>
    <col min="7438" max="7438" width="5.42578125" customWidth="1"/>
    <col min="7439" max="7440" width="9.140625" hidden="1" customWidth="1"/>
    <col min="7441" max="7441" width="13.7109375" customWidth="1"/>
    <col min="7681" max="7681" width="4.85546875" customWidth="1"/>
    <col min="7683" max="7683" width="23.42578125" customWidth="1"/>
    <col min="7684" max="7684" width="0.85546875" customWidth="1"/>
    <col min="7685" max="7685" width="7.140625" customWidth="1"/>
    <col min="7686" max="7686" width="6.28515625" customWidth="1"/>
    <col min="7687" max="7687" width="8.28515625" customWidth="1"/>
    <col min="7688" max="7688" width="7.5703125" customWidth="1"/>
    <col min="7689" max="7689" width="2.42578125" customWidth="1"/>
    <col min="7690" max="7690" width="6.5703125" customWidth="1"/>
    <col min="7691" max="7691" width="2.28515625" customWidth="1"/>
    <col min="7692" max="7692" width="5.85546875" customWidth="1"/>
    <col min="7693" max="7693" width="1.85546875" customWidth="1"/>
    <col min="7694" max="7694" width="5.42578125" customWidth="1"/>
    <col min="7695" max="7696" width="9.140625" hidden="1" customWidth="1"/>
    <col min="7697" max="7697" width="13.7109375" customWidth="1"/>
    <col min="7937" max="7937" width="4.85546875" customWidth="1"/>
    <col min="7939" max="7939" width="23.42578125" customWidth="1"/>
    <col min="7940" max="7940" width="0.85546875" customWidth="1"/>
    <col min="7941" max="7941" width="7.140625" customWidth="1"/>
    <col min="7942" max="7942" width="6.28515625" customWidth="1"/>
    <col min="7943" max="7943" width="8.28515625" customWidth="1"/>
    <col min="7944" max="7944" width="7.5703125" customWidth="1"/>
    <col min="7945" max="7945" width="2.42578125" customWidth="1"/>
    <col min="7946" max="7946" width="6.5703125" customWidth="1"/>
    <col min="7947" max="7947" width="2.28515625" customWidth="1"/>
    <col min="7948" max="7948" width="5.85546875" customWidth="1"/>
    <col min="7949" max="7949" width="1.85546875" customWidth="1"/>
    <col min="7950" max="7950" width="5.42578125" customWidth="1"/>
    <col min="7951" max="7952" width="9.140625" hidden="1" customWidth="1"/>
    <col min="7953" max="7953" width="13.7109375" customWidth="1"/>
    <col min="8193" max="8193" width="4.85546875" customWidth="1"/>
    <col min="8195" max="8195" width="23.42578125" customWidth="1"/>
    <col min="8196" max="8196" width="0.85546875" customWidth="1"/>
    <col min="8197" max="8197" width="7.140625" customWidth="1"/>
    <col min="8198" max="8198" width="6.28515625" customWidth="1"/>
    <col min="8199" max="8199" width="8.28515625" customWidth="1"/>
    <col min="8200" max="8200" width="7.5703125" customWidth="1"/>
    <col min="8201" max="8201" width="2.42578125" customWidth="1"/>
    <col min="8202" max="8202" width="6.5703125" customWidth="1"/>
    <col min="8203" max="8203" width="2.28515625" customWidth="1"/>
    <col min="8204" max="8204" width="5.85546875" customWidth="1"/>
    <col min="8205" max="8205" width="1.85546875" customWidth="1"/>
    <col min="8206" max="8206" width="5.42578125" customWidth="1"/>
    <col min="8207" max="8208" width="9.140625" hidden="1" customWidth="1"/>
    <col min="8209" max="8209" width="13.7109375" customWidth="1"/>
    <col min="8449" max="8449" width="4.85546875" customWidth="1"/>
    <col min="8451" max="8451" width="23.42578125" customWidth="1"/>
    <col min="8452" max="8452" width="0.85546875" customWidth="1"/>
    <col min="8453" max="8453" width="7.140625" customWidth="1"/>
    <col min="8454" max="8454" width="6.28515625" customWidth="1"/>
    <col min="8455" max="8455" width="8.28515625" customWidth="1"/>
    <col min="8456" max="8456" width="7.5703125" customWidth="1"/>
    <col min="8457" max="8457" width="2.42578125" customWidth="1"/>
    <col min="8458" max="8458" width="6.5703125" customWidth="1"/>
    <col min="8459" max="8459" width="2.28515625" customWidth="1"/>
    <col min="8460" max="8460" width="5.85546875" customWidth="1"/>
    <col min="8461" max="8461" width="1.85546875" customWidth="1"/>
    <col min="8462" max="8462" width="5.42578125" customWidth="1"/>
    <col min="8463" max="8464" width="9.140625" hidden="1" customWidth="1"/>
    <col min="8465" max="8465" width="13.7109375" customWidth="1"/>
    <col min="8705" max="8705" width="4.85546875" customWidth="1"/>
    <col min="8707" max="8707" width="23.42578125" customWidth="1"/>
    <col min="8708" max="8708" width="0.85546875" customWidth="1"/>
    <col min="8709" max="8709" width="7.140625" customWidth="1"/>
    <col min="8710" max="8710" width="6.28515625" customWidth="1"/>
    <col min="8711" max="8711" width="8.28515625" customWidth="1"/>
    <col min="8712" max="8712" width="7.5703125" customWidth="1"/>
    <col min="8713" max="8713" width="2.42578125" customWidth="1"/>
    <col min="8714" max="8714" width="6.5703125" customWidth="1"/>
    <col min="8715" max="8715" width="2.28515625" customWidth="1"/>
    <col min="8716" max="8716" width="5.85546875" customWidth="1"/>
    <col min="8717" max="8717" width="1.85546875" customWidth="1"/>
    <col min="8718" max="8718" width="5.42578125" customWidth="1"/>
    <col min="8719" max="8720" width="9.140625" hidden="1" customWidth="1"/>
    <col min="8721" max="8721" width="13.7109375" customWidth="1"/>
    <col min="8961" max="8961" width="4.85546875" customWidth="1"/>
    <col min="8963" max="8963" width="23.42578125" customWidth="1"/>
    <col min="8964" max="8964" width="0.85546875" customWidth="1"/>
    <col min="8965" max="8965" width="7.140625" customWidth="1"/>
    <col min="8966" max="8966" width="6.28515625" customWidth="1"/>
    <col min="8967" max="8967" width="8.28515625" customWidth="1"/>
    <col min="8968" max="8968" width="7.5703125" customWidth="1"/>
    <col min="8969" max="8969" width="2.42578125" customWidth="1"/>
    <col min="8970" max="8970" width="6.5703125" customWidth="1"/>
    <col min="8971" max="8971" width="2.28515625" customWidth="1"/>
    <col min="8972" max="8972" width="5.85546875" customWidth="1"/>
    <col min="8973" max="8973" width="1.85546875" customWidth="1"/>
    <col min="8974" max="8974" width="5.42578125" customWidth="1"/>
    <col min="8975" max="8976" width="9.140625" hidden="1" customWidth="1"/>
    <col min="8977" max="8977" width="13.7109375" customWidth="1"/>
    <col min="9217" max="9217" width="4.85546875" customWidth="1"/>
    <col min="9219" max="9219" width="23.42578125" customWidth="1"/>
    <col min="9220" max="9220" width="0.85546875" customWidth="1"/>
    <col min="9221" max="9221" width="7.140625" customWidth="1"/>
    <col min="9222" max="9222" width="6.28515625" customWidth="1"/>
    <col min="9223" max="9223" width="8.28515625" customWidth="1"/>
    <col min="9224" max="9224" width="7.5703125" customWidth="1"/>
    <col min="9225" max="9225" width="2.42578125" customWidth="1"/>
    <col min="9226" max="9226" width="6.5703125" customWidth="1"/>
    <col min="9227" max="9227" width="2.28515625" customWidth="1"/>
    <col min="9228" max="9228" width="5.85546875" customWidth="1"/>
    <col min="9229" max="9229" width="1.85546875" customWidth="1"/>
    <col min="9230" max="9230" width="5.42578125" customWidth="1"/>
    <col min="9231" max="9232" width="9.140625" hidden="1" customWidth="1"/>
    <col min="9233" max="9233" width="13.7109375" customWidth="1"/>
    <col min="9473" max="9473" width="4.85546875" customWidth="1"/>
    <col min="9475" max="9475" width="23.42578125" customWidth="1"/>
    <col min="9476" max="9476" width="0.85546875" customWidth="1"/>
    <col min="9477" max="9477" width="7.140625" customWidth="1"/>
    <col min="9478" max="9478" width="6.28515625" customWidth="1"/>
    <col min="9479" max="9479" width="8.28515625" customWidth="1"/>
    <col min="9480" max="9480" width="7.5703125" customWidth="1"/>
    <col min="9481" max="9481" width="2.42578125" customWidth="1"/>
    <col min="9482" max="9482" width="6.5703125" customWidth="1"/>
    <col min="9483" max="9483" width="2.28515625" customWidth="1"/>
    <col min="9484" max="9484" width="5.85546875" customWidth="1"/>
    <col min="9485" max="9485" width="1.85546875" customWidth="1"/>
    <col min="9486" max="9486" width="5.42578125" customWidth="1"/>
    <col min="9487" max="9488" width="9.140625" hidden="1" customWidth="1"/>
    <col min="9489" max="9489" width="13.7109375" customWidth="1"/>
    <col min="9729" max="9729" width="4.85546875" customWidth="1"/>
    <col min="9731" max="9731" width="23.42578125" customWidth="1"/>
    <col min="9732" max="9732" width="0.85546875" customWidth="1"/>
    <col min="9733" max="9733" width="7.140625" customWidth="1"/>
    <col min="9734" max="9734" width="6.28515625" customWidth="1"/>
    <col min="9735" max="9735" width="8.28515625" customWidth="1"/>
    <col min="9736" max="9736" width="7.5703125" customWidth="1"/>
    <col min="9737" max="9737" width="2.42578125" customWidth="1"/>
    <col min="9738" max="9738" width="6.5703125" customWidth="1"/>
    <col min="9739" max="9739" width="2.28515625" customWidth="1"/>
    <col min="9740" max="9740" width="5.85546875" customWidth="1"/>
    <col min="9741" max="9741" width="1.85546875" customWidth="1"/>
    <col min="9742" max="9742" width="5.42578125" customWidth="1"/>
    <col min="9743" max="9744" width="9.140625" hidden="1" customWidth="1"/>
    <col min="9745" max="9745" width="13.7109375" customWidth="1"/>
    <col min="9985" max="9985" width="4.85546875" customWidth="1"/>
    <col min="9987" max="9987" width="23.42578125" customWidth="1"/>
    <col min="9988" max="9988" width="0.85546875" customWidth="1"/>
    <col min="9989" max="9989" width="7.140625" customWidth="1"/>
    <col min="9990" max="9990" width="6.28515625" customWidth="1"/>
    <col min="9991" max="9991" width="8.28515625" customWidth="1"/>
    <col min="9992" max="9992" width="7.5703125" customWidth="1"/>
    <col min="9993" max="9993" width="2.42578125" customWidth="1"/>
    <col min="9994" max="9994" width="6.5703125" customWidth="1"/>
    <col min="9995" max="9995" width="2.28515625" customWidth="1"/>
    <col min="9996" max="9996" width="5.85546875" customWidth="1"/>
    <col min="9997" max="9997" width="1.85546875" customWidth="1"/>
    <col min="9998" max="9998" width="5.42578125" customWidth="1"/>
    <col min="9999" max="10000" width="9.140625" hidden="1" customWidth="1"/>
    <col min="10001" max="10001" width="13.7109375" customWidth="1"/>
    <col min="10241" max="10241" width="4.85546875" customWidth="1"/>
    <col min="10243" max="10243" width="23.42578125" customWidth="1"/>
    <col min="10244" max="10244" width="0.85546875" customWidth="1"/>
    <col min="10245" max="10245" width="7.140625" customWidth="1"/>
    <col min="10246" max="10246" width="6.28515625" customWidth="1"/>
    <col min="10247" max="10247" width="8.28515625" customWidth="1"/>
    <col min="10248" max="10248" width="7.5703125" customWidth="1"/>
    <col min="10249" max="10249" width="2.42578125" customWidth="1"/>
    <col min="10250" max="10250" width="6.5703125" customWidth="1"/>
    <col min="10251" max="10251" width="2.28515625" customWidth="1"/>
    <col min="10252" max="10252" width="5.85546875" customWidth="1"/>
    <col min="10253" max="10253" width="1.85546875" customWidth="1"/>
    <col min="10254" max="10254" width="5.42578125" customWidth="1"/>
    <col min="10255" max="10256" width="9.140625" hidden="1" customWidth="1"/>
    <col min="10257" max="10257" width="13.7109375" customWidth="1"/>
    <col min="10497" max="10497" width="4.85546875" customWidth="1"/>
    <col min="10499" max="10499" width="23.42578125" customWidth="1"/>
    <col min="10500" max="10500" width="0.85546875" customWidth="1"/>
    <col min="10501" max="10501" width="7.140625" customWidth="1"/>
    <col min="10502" max="10502" width="6.28515625" customWidth="1"/>
    <col min="10503" max="10503" width="8.28515625" customWidth="1"/>
    <col min="10504" max="10504" width="7.5703125" customWidth="1"/>
    <col min="10505" max="10505" width="2.42578125" customWidth="1"/>
    <col min="10506" max="10506" width="6.5703125" customWidth="1"/>
    <col min="10507" max="10507" width="2.28515625" customWidth="1"/>
    <col min="10508" max="10508" width="5.85546875" customWidth="1"/>
    <col min="10509" max="10509" width="1.85546875" customWidth="1"/>
    <col min="10510" max="10510" width="5.42578125" customWidth="1"/>
    <col min="10511" max="10512" width="9.140625" hidden="1" customWidth="1"/>
    <col min="10513" max="10513" width="13.7109375" customWidth="1"/>
    <col min="10753" max="10753" width="4.85546875" customWidth="1"/>
    <col min="10755" max="10755" width="23.42578125" customWidth="1"/>
    <col min="10756" max="10756" width="0.85546875" customWidth="1"/>
    <col min="10757" max="10757" width="7.140625" customWidth="1"/>
    <col min="10758" max="10758" width="6.28515625" customWidth="1"/>
    <col min="10759" max="10759" width="8.28515625" customWidth="1"/>
    <col min="10760" max="10760" width="7.5703125" customWidth="1"/>
    <col min="10761" max="10761" width="2.42578125" customWidth="1"/>
    <col min="10762" max="10762" width="6.5703125" customWidth="1"/>
    <col min="10763" max="10763" width="2.28515625" customWidth="1"/>
    <col min="10764" max="10764" width="5.85546875" customWidth="1"/>
    <col min="10765" max="10765" width="1.85546875" customWidth="1"/>
    <col min="10766" max="10766" width="5.42578125" customWidth="1"/>
    <col min="10767" max="10768" width="9.140625" hidden="1" customWidth="1"/>
    <col min="10769" max="10769" width="13.7109375" customWidth="1"/>
    <col min="11009" max="11009" width="4.85546875" customWidth="1"/>
    <col min="11011" max="11011" width="23.42578125" customWidth="1"/>
    <col min="11012" max="11012" width="0.85546875" customWidth="1"/>
    <col min="11013" max="11013" width="7.140625" customWidth="1"/>
    <col min="11014" max="11014" width="6.28515625" customWidth="1"/>
    <col min="11015" max="11015" width="8.28515625" customWidth="1"/>
    <col min="11016" max="11016" width="7.5703125" customWidth="1"/>
    <col min="11017" max="11017" width="2.42578125" customWidth="1"/>
    <col min="11018" max="11018" width="6.5703125" customWidth="1"/>
    <col min="11019" max="11019" width="2.28515625" customWidth="1"/>
    <col min="11020" max="11020" width="5.85546875" customWidth="1"/>
    <col min="11021" max="11021" width="1.85546875" customWidth="1"/>
    <col min="11022" max="11022" width="5.42578125" customWidth="1"/>
    <col min="11023" max="11024" width="9.140625" hidden="1" customWidth="1"/>
    <col min="11025" max="11025" width="13.7109375" customWidth="1"/>
    <col min="11265" max="11265" width="4.85546875" customWidth="1"/>
    <col min="11267" max="11267" width="23.42578125" customWidth="1"/>
    <col min="11268" max="11268" width="0.85546875" customWidth="1"/>
    <col min="11269" max="11269" width="7.140625" customWidth="1"/>
    <col min="11270" max="11270" width="6.28515625" customWidth="1"/>
    <col min="11271" max="11271" width="8.28515625" customWidth="1"/>
    <col min="11272" max="11272" width="7.5703125" customWidth="1"/>
    <col min="11273" max="11273" width="2.42578125" customWidth="1"/>
    <col min="11274" max="11274" width="6.5703125" customWidth="1"/>
    <col min="11275" max="11275" width="2.28515625" customWidth="1"/>
    <col min="11276" max="11276" width="5.85546875" customWidth="1"/>
    <col min="11277" max="11277" width="1.85546875" customWidth="1"/>
    <col min="11278" max="11278" width="5.42578125" customWidth="1"/>
    <col min="11279" max="11280" width="9.140625" hidden="1" customWidth="1"/>
    <col min="11281" max="11281" width="13.7109375" customWidth="1"/>
    <col min="11521" max="11521" width="4.85546875" customWidth="1"/>
    <col min="11523" max="11523" width="23.42578125" customWidth="1"/>
    <col min="11524" max="11524" width="0.85546875" customWidth="1"/>
    <col min="11525" max="11525" width="7.140625" customWidth="1"/>
    <col min="11526" max="11526" width="6.28515625" customWidth="1"/>
    <col min="11527" max="11527" width="8.28515625" customWidth="1"/>
    <col min="11528" max="11528" width="7.5703125" customWidth="1"/>
    <col min="11529" max="11529" width="2.42578125" customWidth="1"/>
    <col min="11530" max="11530" width="6.5703125" customWidth="1"/>
    <col min="11531" max="11531" width="2.28515625" customWidth="1"/>
    <col min="11532" max="11532" width="5.85546875" customWidth="1"/>
    <col min="11533" max="11533" width="1.85546875" customWidth="1"/>
    <col min="11534" max="11534" width="5.42578125" customWidth="1"/>
    <col min="11535" max="11536" width="9.140625" hidden="1" customWidth="1"/>
    <col min="11537" max="11537" width="13.7109375" customWidth="1"/>
    <col min="11777" max="11777" width="4.85546875" customWidth="1"/>
    <col min="11779" max="11779" width="23.42578125" customWidth="1"/>
    <col min="11780" max="11780" width="0.85546875" customWidth="1"/>
    <col min="11781" max="11781" width="7.140625" customWidth="1"/>
    <col min="11782" max="11782" width="6.28515625" customWidth="1"/>
    <col min="11783" max="11783" width="8.28515625" customWidth="1"/>
    <col min="11784" max="11784" width="7.5703125" customWidth="1"/>
    <col min="11785" max="11785" width="2.42578125" customWidth="1"/>
    <col min="11786" max="11786" width="6.5703125" customWidth="1"/>
    <col min="11787" max="11787" width="2.28515625" customWidth="1"/>
    <col min="11788" max="11788" width="5.85546875" customWidth="1"/>
    <col min="11789" max="11789" width="1.85546875" customWidth="1"/>
    <col min="11790" max="11790" width="5.42578125" customWidth="1"/>
    <col min="11791" max="11792" width="9.140625" hidden="1" customWidth="1"/>
    <col min="11793" max="11793" width="13.7109375" customWidth="1"/>
    <col min="12033" max="12033" width="4.85546875" customWidth="1"/>
    <col min="12035" max="12035" width="23.42578125" customWidth="1"/>
    <col min="12036" max="12036" width="0.85546875" customWidth="1"/>
    <col min="12037" max="12037" width="7.140625" customWidth="1"/>
    <col min="12038" max="12038" width="6.28515625" customWidth="1"/>
    <col min="12039" max="12039" width="8.28515625" customWidth="1"/>
    <col min="12040" max="12040" width="7.5703125" customWidth="1"/>
    <col min="12041" max="12041" width="2.42578125" customWidth="1"/>
    <col min="12042" max="12042" width="6.5703125" customWidth="1"/>
    <col min="12043" max="12043" width="2.28515625" customWidth="1"/>
    <col min="12044" max="12044" width="5.85546875" customWidth="1"/>
    <col min="12045" max="12045" width="1.85546875" customWidth="1"/>
    <col min="12046" max="12046" width="5.42578125" customWidth="1"/>
    <col min="12047" max="12048" width="9.140625" hidden="1" customWidth="1"/>
    <col min="12049" max="12049" width="13.7109375" customWidth="1"/>
    <col min="12289" max="12289" width="4.85546875" customWidth="1"/>
    <col min="12291" max="12291" width="23.42578125" customWidth="1"/>
    <col min="12292" max="12292" width="0.85546875" customWidth="1"/>
    <col min="12293" max="12293" width="7.140625" customWidth="1"/>
    <col min="12294" max="12294" width="6.28515625" customWidth="1"/>
    <col min="12295" max="12295" width="8.28515625" customWidth="1"/>
    <col min="12296" max="12296" width="7.5703125" customWidth="1"/>
    <col min="12297" max="12297" width="2.42578125" customWidth="1"/>
    <col min="12298" max="12298" width="6.5703125" customWidth="1"/>
    <col min="12299" max="12299" width="2.28515625" customWidth="1"/>
    <col min="12300" max="12300" width="5.85546875" customWidth="1"/>
    <col min="12301" max="12301" width="1.85546875" customWidth="1"/>
    <col min="12302" max="12302" width="5.42578125" customWidth="1"/>
    <col min="12303" max="12304" width="9.140625" hidden="1" customWidth="1"/>
    <col min="12305" max="12305" width="13.7109375" customWidth="1"/>
    <col min="12545" max="12545" width="4.85546875" customWidth="1"/>
    <col min="12547" max="12547" width="23.42578125" customWidth="1"/>
    <col min="12548" max="12548" width="0.85546875" customWidth="1"/>
    <col min="12549" max="12549" width="7.140625" customWidth="1"/>
    <col min="12550" max="12550" width="6.28515625" customWidth="1"/>
    <col min="12551" max="12551" width="8.28515625" customWidth="1"/>
    <col min="12552" max="12552" width="7.5703125" customWidth="1"/>
    <col min="12553" max="12553" width="2.42578125" customWidth="1"/>
    <col min="12554" max="12554" width="6.5703125" customWidth="1"/>
    <col min="12555" max="12555" width="2.28515625" customWidth="1"/>
    <col min="12556" max="12556" width="5.85546875" customWidth="1"/>
    <col min="12557" max="12557" width="1.85546875" customWidth="1"/>
    <col min="12558" max="12558" width="5.42578125" customWidth="1"/>
    <col min="12559" max="12560" width="9.140625" hidden="1" customWidth="1"/>
    <col min="12561" max="12561" width="13.7109375" customWidth="1"/>
    <col min="12801" max="12801" width="4.85546875" customWidth="1"/>
    <col min="12803" max="12803" width="23.42578125" customWidth="1"/>
    <col min="12804" max="12804" width="0.85546875" customWidth="1"/>
    <col min="12805" max="12805" width="7.140625" customWidth="1"/>
    <col min="12806" max="12806" width="6.28515625" customWidth="1"/>
    <col min="12807" max="12807" width="8.28515625" customWidth="1"/>
    <col min="12808" max="12808" width="7.5703125" customWidth="1"/>
    <col min="12809" max="12809" width="2.42578125" customWidth="1"/>
    <col min="12810" max="12810" width="6.5703125" customWidth="1"/>
    <col min="12811" max="12811" width="2.28515625" customWidth="1"/>
    <col min="12812" max="12812" width="5.85546875" customWidth="1"/>
    <col min="12813" max="12813" width="1.85546875" customWidth="1"/>
    <col min="12814" max="12814" width="5.42578125" customWidth="1"/>
    <col min="12815" max="12816" width="9.140625" hidden="1" customWidth="1"/>
    <col min="12817" max="12817" width="13.7109375" customWidth="1"/>
    <col min="13057" max="13057" width="4.85546875" customWidth="1"/>
    <col min="13059" max="13059" width="23.42578125" customWidth="1"/>
    <col min="13060" max="13060" width="0.85546875" customWidth="1"/>
    <col min="13061" max="13061" width="7.140625" customWidth="1"/>
    <col min="13062" max="13062" width="6.28515625" customWidth="1"/>
    <col min="13063" max="13063" width="8.28515625" customWidth="1"/>
    <col min="13064" max="13064" width="7.5703125" customWidth="1"/>
    <col min="13065" max="13065" width="2.42578125" customWidth="1"/>
    <col min="13066" max="13066" width="6.5703125" customWidth="1"/>
    <col min="13067" max="13067" width="2.28515625" customWidth="1"/>
    <col min="13068" max="13068" width="5.85546875" customWidth="1"/>
    <col min="13069" max="13069" width="1.85546875" customWidth="1"/>
    <col min="13070" max="13070" width="5.42578125" customWidth="1"/>
    <col min="13071" max="13072" width="9.140625" hidden="1" customWidth="1"/>
    <col min="13073" max="13073" width="13.7109375" customWidth="1"/>
    <col min="13313" max="13313" width="4.85546875" customWidth="1"/>
    <col min="13315" max="13315" width="23.42578125" customWidth="1"/>
    <col min="13316" max="13316" width="0.85546875" customWidth="1"/>
    <col min="13317" max="13317" width="7.140625" customWidth="1"/>
    <col min="13318" max="13318" width="6.28515625" customWidth="1"/>
    <col min="13319" max="13319" width="8.28515625" customWidth="1"/>
    <col min="13320" max="13320" width="7.5703125" customWidth="1"/>
    <col min="13321" max="13321" width="2.42578125" customWidth="1"/>
    <col min="13322" max="13322" width="6.5703125" customWidth="1"/>
    <col min="13323" max="13323" width="2.28515625" customWidth="1"/>
    <col min="13324" max="13324" width="5.85546875" customWidth="1"/>
    <col min="13325" max="13325" width="1.85546875" customWidth="1"/>
    <col min="13326" max="13326" width="5.42578125" customWidth="1"/>
    <col min="13327" max="13328" width="9.140625" hidden="1" customWidth="1"/>
    <col min="13329" max="13329" width="13.7109375" customWidth="1"/>
    <col min="13569" max="13569" width="4.85546875" customWidth="1"/>
    <col min="13571" max="13571" width="23.42578125" customWidth="1"/>
    <col min="13572" max="13572" width="0.85546875" customWidth="1"/>
    <col min="13573" max="13573" width="7.140625" customWidth="1"/>
    <col min="13574" max="13574" width="6.28515625" customWidth="1"/>
    <col min="13575" max="13575" width="8.28515625" customWidth="1"/>
    <col min="13576" max="13576" width="7.5703125" customWidth="1"/>
    <col min="13577" max="13577" width="2.42578125" customWidth="1"/>
    <col min="13578" max="13578" width="6.5703125" customWidth="1"/>
    <col min="13579" max="13579" width="2.28515625" customWidth="1"/>
    <col min="13580" max="13580" width="5.85546875" customWidth="1"/>
    <col min="13581" max="13581" width="1.85546875" customWidth="1"/>
    <col min="13582" max="13582" width="5.42578125" customWidth="1"/>
    <col min="13583" max="13584" width="9.140625" hidden="1" customWidth="1"/>
    <col min="13585" max="13585" width="13.7109375" customWidth="1"/>
    <col min="13825" max="13825" width="4.85546875" customWidth="1"/>
    <col min="13827" max="13827" width="23.42578125" customWidth="1"/>
    <col min="13828" max="13828" width="0.85546875" customWidth="1"/>
    <col min="13829" max="13829" width="7.140625" customWidth="1"/>
    <col min="13830" max="13830" width="6.28515625" customWidth="1"/>
    <col min="13831" max="13831" width="8.28515625" customWidth="1"/>
    <col min="13832" max="13832" width="7.5703125" customWidth="1"/>
    <col min="13833" max="13833" width="2.42578125" customWidth="1"/>
    <col min="13834" max="13834" width="6.5703125" customWidth="1"/>
    <col min="13835" max="13835" width="2.28515625" customWidth="1"/>
    <col min="13836" max="13836" width="5.85546875" customWidth="1"/>
    <col min="13837" max="13837" width="1.85546875" customWidth="1"/>
    <col min="13838" max="13838" width="5.42578125" customWidth="1"/>
    <col min="13839" max="13840" width="9.140625" hidden="1" customWidth="1"/>
    <col min="13841" max="13841" width="13.7109375" customWidth="1"/>
    <col min="14081" max="14081" width="4.85546875" customWidth="1"/>
    <col min="14083" max="14083" width="23.42578125" customWidth="1"/>
    <col min="14084" max="14084" width="0.85546875" customWidth="1"/>
    <col min="14085" max="14085" width="7.140625" customWidth="1"/>
    <col min="14086" max="14086" width="6.28515625" customWidth="1"/>
    <col min="14087" max="14087" width="8.28515625" customWidth="1"/>
    <col min="14088" max="14088" width="7.5703125" customWidth="1"/>
    <col min="14089" max="14089" width="2.42578125" customWidth="1"/>
    <col min="14090" max="14090" width="6.5703125" customWidth="1"/>
    <col min="14091" max="14091" width="2.28515625" customWidth="1"/>
    <col min="14092" max="14092" width="5.85546875" customWidth="1"/>
    <col min="14093" max="14093" width="1.85546875" customWidth="1"/>
    <col min="14094" max="14094" width="5.42578125" customWidth="1"/>
    <col min="14095" max="14096" width="9.140625" hidden="1" customWidth="1"/>
    <col min="14097" max="14097" width="13.7109375" customWidth="1"/>
    <col min="14337" max="14337" width="4.85546875" customWidth="1"/>
    <col min="14339" max="14339" width="23.42578125" customWidth="1"/>
    <col min="14340" max="14340" width="0.85546875" customWidth="1"/>
    <col min="14341" max="14341" width="7.140625" customWidth="1"/>
    <col min="14342" max="14342" width="6.28515625" customWidth="1"/>
    <col min="14343" max="14343" width="8.28515625" customWidth="1"/>
    <col min="14344" max="14344" width="7.5703125" customWidth="1"/>
    <col min="14345" max="14345" width="2.42578125" customWidth="1"/>
    <col min="14346" max="14346" width="6.5703125" customWidth="1"/>
    <col min="14347" max="14347" width="2.28515625" customWidth="1"/>
    <col min="14348" max="14348" width="5.85546875" customWidth="1"/>
    <col min="14349" max="14349" width="1.85546875" customWidth="1"/>
    <col min="14350" max="14350" width="5.42578125" customWidth="1"/>
    <col min="14351" max="14352" width="9.140625" hidden="1" customWidth="1"/>
    <col min="14353" max="14353" width="13.7109375" customWidth="1"/>
    <col min="14593" max="14593" width="4.85546875" customWidth="1"/>
    <col min="14595" max="14595" width="23.42578125" customWidth="1"/>
    <col min="14596" max="14596" width="0.85546875" customWidth="1"/>
    <col min="14597" max="14597" width="7.140625" customWidth="1"/>
    <col min="14598" max="14598" width="6.28515625" customWidth="1"/>
    <col min="14599" max="14599" width="8.28515625" customWidth="1"/>
    <col min="14600" max="14600" width="7.5703125" customWidth="1"/>
    <col min="14601" max="14601" width="2.42578125" customWidth="1"/>
    <col min="14602" max="14602" width="6.5703125" customWidth="1"/>
    <col min="14603" max="14603" width="2.28515625" customWidth="1"/>
    <col min="14604" max="14604" width="5.85546875" customWidth="1"/>
    <col min="14605" max="14605" width="1.85546875" customWidth="1"/>
    <col min="14606" max="14606" width="5.42578125" customWidth="1"/>
    <col min="14607" max="14608" width="9.140625" hidden="1" customWidth="1"/>
    <col min="14609" max="14609" width="13.7109375" customWidth="1"/>
    <col min="14849" max="14849" width="4.85546875" customWidth="1"/>
    <col min="14851" max="14851" width="23.42578125" customWidth="1"/>
    <col min="14852" max="14852" width="0.85546875" customWidth="1"/>
    <col min="14853" max="14853" width="7.140625" customWidth="1"/>
    <col min="14854" max="14854" width="6.28515625" customWidth="1"/>
    <col min="14855" max="14855" width="8.28515625" customWidth="1"/>
    <col min="14856" max="14856" width="7.5703125" customWidth="1"/>
    <col min="14857" max="14857" width="2.42578125" customWidth="1"/>
    <col min="14858" max="14858" width="6.5703125" customWidth="1"/>
    <col min="14859" max="14859" width="2.28515625" customWidth="1"/>
    <col min="14860" max="14860" width="5.85546875" customWidth="1"/>
    <col min="14861" max="14861" width="1.85546875" customWidth="1"/>
    <col min="14862" max="14862" width="5.42578125" customWidth="1"/>
    <col min="14863" max="14864" width="9.140625" hidden="1" customWidth="1"/>
    <col min="14865" max="14865" width="13.7109375" customWidth="1"/>
    <col min="15105" max="15105" width="4.85546875" customWidth="1"/>
    <col min="15107" max="15107" width="23.42578125" customWidth="1"/>
    <col min="15108" max="15108" width="0.85546875" customWidth="1"/>
    <col min="15109" max="15109" width="7.140625" customWidth="1"/>
    <col min="15110" max="15110" width="6.28515625" customWidth="1"/>
    <col min="15111" max="15111" width="8.28515625" customWidth="1"/>
    <col min="15112" max="15112" width="7.5703125" customWidth="1"/>
    <col min="15113" max="15113" width="2.42578125" customWidth="1"/>
    <col min="15114" max="15114" width="6.5703125" customWidth="1"/>
    <col min="15115" max="15115" width="2.28515625" customWidth="1"/>
    <col min="15116" max="15116" width="5.85546875" customWidth="1"/>
    <col min="15117" max="15117" width="1.85546875" customWidth="1"/>
    <col min="15118" max="15118" width="5.42578125" customWidth="1"/>
    <col min="15119" max="15120" width="9.140625" hidden="1" customWidth="1"/>
    <col min="15121" max="15121" width="13.7109375" customWidth="1"/>
    <col min="15361" max="15361" width="4.85546875" customWidth="1"/>
    <col min="15363" max="15363" width="23.42578125" customWidth="1"/>
    <col min="15364" max="15364" width="0.85546875" customWidth="1"/>
    <col min="15365" max="15365" width="7.140625" customWidth="1"/>
    <col min="15366" max="15366" width="6.28515625" customWidth="1"/>
    <col min="15367" max="15367" width="8.28515625" customWidth="1"/>
    <col min="15368" max="15368" width="7.5703125" customWidth="1"/>
    <col min="15369" max="15369" width="2.42578125" customWidth="1"/>
    <col min="15370" max="15370" width="6.5703125" customWidth="1"/>
    <col min="15371" max="15371" width="2.28515625" customWidth="1"/>
    <col min="15372" max="15372" width="5.85546875" customWidth="1"/>
    <col min="15373" max="15373" width="1.85546875" customWidth="1"/>
    <col min="15374" max="15374" width="5.42578125" customWidth="1"/>
    <col min="15375" max="15376" width="9.140625" hidden="1" customWidth="1"/>
    <col min="15377" max="15377" width="13.7109375" customWidth="1"/>
    <col min="15617" max="15617" width="4.85546875" customWidth="1"/>
    <col min="15619" max="15619" width="23.42578125" customWidth="1"/>
    <col min="15620" max="15620" width="0.85546875" customWidth="1"/>
    <col min="15621" max="15621" width="7.140625" customWidth="1"/>
    <col min="15622" max="15622" width="6.28515625" customWidth="1"/>
    <col min="15623" max="15623" width="8.28515625" customWidth="1"/>
    <col min="15624" max="15624" width="7.5703125" customWidth="1"/>
    <col min="15625" max="15625" width="2.42578125" customWidth="1"/>
    <col min="15626" max="15626" width="6.5703125" customWidth="1"/>
    <col min="15627" max="15627" width="2.28515625" customWidth="1"/>
    <col min="15628" max="15628" width="5.85546875" customWidth="1"/>
    <col min="15629" max="15629" width="1.85546875" customWidth="1"/>
    <col min="15630" max="15630" width="5.42578125" customWidth="1"/>
    <col min="15631" max="15632" width="9.140625" hidden="1" customWidth="1"/>
    <col min="15633" max="15633" width="13.7109375" customWidth="1"/>
    <col min="15873" max="15873" width="4.85546875" customWidth="1"/>
    <col min="15875" max="15875" width="23.42578125" customWidth="1"/>
    <col min="15876" max="15876" width="0.85546875" customWidth="1"/>
    <col min="15877" max="15877" width="7.140625" customWidth="1"/>
    <col min="15878" max="15878" width="6.28515625" customWidth="1"/>
    <col min="15879" max="15879" width="8.28515625" customWidth="1"/>
    <col min="15880" max="15880" width="7.5703125" customWidth="1"/>
    <col min="15881" max="15881" width="2.42578125" customWidth="1"/>
    <col min="15882" max="15882" width="6.5703125" customWidth="1"/>
    <col min="15883" max="15883" width="2.28515625" customWidth="1"/>
    <col min="15884" max="15884" width="5.85546875" customWidth="1"/>
    <col min="15885" max="15885" width="1.85546875" customWidth="1"/>
    <col min="15886" max="15886" width="5.42578125" customWidth="1"/>
    <col min="15887" max="15888" width="9.140625" hidden="1" customWidth="1"/>
    <col min="15889" max="15889" width="13.7109375" customWidth="1"/>
    <col min="16129" max="16129" width="4.85546875" customWidth="1"/>
    <col min="16131" max="16131" width="23.42578125" customWidth="1"/>
    <col min="16132" max="16132" width="0.85546875" customWidth="1"/>
    <col min="16133" max="16133" width="7.140625" customWidth="1"/>
    <col min="16134" max="16134" width="6.28515625" customWidth="1"/>
    <col min="16135" max="16135" width="8.28515625" customWidth="1"/>
    <col min="16136" max="16136" width="7.5703125" customWidth="1"/>
    <col min="16137" max="16137" width="2.42578125" customWidth="1"/>
    <col min="16138" max="16138" width="6.5703125" customWidth="1"/>
    <col min="16139" max="16139" width="2.28515625" customWidth="1"/>
    <col min="16140" max="16140" width="5.85546875" customWidth="1"/>
    <col min="16141" max="16141" width="1.85546875" customWidth="1"/>
    <col min="16142" max="16142" width="5.42578125" customWidth="1"/>
    <col min="16143" max="16144" width="9.140625" hidden="1" customWidth="1"/>
    <col min="16145" max="16145" width="13.7109375" customWidth="1"/>
  </cols>
  <sheetData>
    <row r="1" spans="1:17" ht="16.5" x14ac:dyDescent="0.25">
      <c r="H1" s="1" t="s">
        <v>0</v>
      </c>
    </row>
    <row r="2" spans="1:17" ht="16.5" x14ac:dyDescent="0.25">
      <c r="H2" s="1" t="s">
        <v>1</v>
      </c>
    </row>
    <row r="3" spans="1:17" ht="16.5" x14ac:dyDescent="0.25">
      <c r="H3" s="1" t="s">
        <v>2</v>
      </c>
    </row>
    <row r="4" spans="1:17" ht="16.5" x14ac:dyDescent="0.25">
      <c r="H4" s="1" t="s">
        <v>3</v>
      </c>
    </row>
    <row r="5" spans="1:17" ht="16.5" x14ac:dyDescent="0.25">
      <c r="H5" s="1" t="s">
        <v>109</v>
      </c>
    </row>
    <row r="7" spans="1:17" x14ac:dyDescent="0.25">
      <c r="A7" s="7"/>
      <c r="B7" s="7"/>
      <c r="C7" s="7"/>
      <c r="D7" s="7"/>
      <c r="E7" s="7"/>
      <c r="F7" s="7"/>
      <c r="G7" s="7" t="s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E8" t="s">
        <v>9</v>
      </c>
    </row>
    <row r="9" spans="1:17" x14ac:dyDescent="0.25">
      <c r="C9" t="s">
        <v>10</v>
      </c>
    </row>
    <row r="10" spans="1:17" x14ac:dyDescent="0.25">
      <c r="A10" t="s">
        <v>11</v>
      </c>
      <c r="E10" t="s">
        <v>12</v>
      </c>
    </row>
    <row r="11" spans="1:17" ht="15" customHeight="1" x14ac:dyDescent="0.25">
      <c r="A11" t="s">
        <v>13</v>
      </c>
      <c r="E11" s="416" t="e">
        <f>#REF!</f>
        <v>#REF!</v>
      </c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</row>
    <row r="12" spans="1:17" ht="39" customHeight="1" x14ac:dyDescent="0.25">
      <c r="A12" t="s">
        <v>14</v>
      </c>
      <c r="E12" s="416"/>
      <c r="F12" s="416"/>
      <c r="G12" s="416"/>
      <c r="H12" s="416"/>
      <c r="I12" s="416"/>
      <c r="J12" s="416"/>
      <c r="K12" s="416"/>
      <c r="L12" s="416"/>
      <c r="M12" s="416"/>
      <c r="N12" s="416"/>
      <c r="O12" s="416"/>
      <c r="P12" s="416"/>
      <c r="Q12" s="416"/>
    </row>
    <row r="13" spans="1:17" x14ac:dyDescent="0.25">
      <c r="A13" t="s">
        <v>15</v>
      </c>
    </row>
    <row r="16" spans="1:17" x14ac:dyDescent="0.25">
      <c r="A16" s="8" t="s">
        <v>16</v>
      </c>
      <c r="B16" s="9" t="s">
        <v>17</v>
      </c>
      <c r="C16" s="10"/>
      <c r="D16" s="10"/>
      <c r="E16" s="11" t="s">
        <v>18</v>
      </c>
      <c r="F16" s="10"/>
      <c r="G16" s="12"/>
      <c r="H16" s="10" t="s">
        <v>19</v>
      </c>
      <c r="I16" s="10"/>
      <c r="J16" s="10"/>
      <c r="K16" s="10"/>
      <c r="L16" s="10"/>
      <c r="M16" s="10"/>
      <c r="N16" s="10"/>
      <c r="O16" s="10"/>
      <c r="P16" s="10"/>
      <c r="Q16" s="8" t="s">
        <v>20</v>
      </c>
    </row>
    <row r="17" spans="1:24" x14ac:dyDescent="0.25">
      <c r="A17" s="13"/>
      <c r="B17" s="14" t="s">
        <v>21</v>
      </c>
      <c r="C17" s="15"/>
      <c r="D17" s="15"/>
      <c r="E17" s="16" t="s">
        <v>22</v>
      </c>
      <c r="F17" s="15"/>
      <c r="G17" s="17"/>
      <c r="H17" s="14" t="s">
        <v>23</v>
      </c>
      <c r="I17" s="15"/>
      <c r="J17" s="15"/>
      <c r="K17" s="15"/>
      <c r="L17" s="15"/>
      <c r="M17" s="15"/>
      <c r="N17" s="15"/>
      <c r="O17" s="15"/>
      <c r="P17" s="15"/>
      <c r="Q17" s="18" t="s">
        <v>24</v>
      </c>
    </row>
    <row r="18" spans="1:24" x14ac:dyDescent="0.25">
      <c r="A18" s="13"/>
      <c r="B18" s="14"/>
      <c r="C18" s="15"/>
      <c r="D18" s="15"/>
      <c r="E18" s="16" t="s">
        <v>25</v>
      </c>
      <c r="F18" s="15"/>
      <c r="G18" s="17"/>
      <c r="H18" s="14" t="s">
        <v>26</v>
      </c>
      <c r="I18" s="15"/>
      <c r="J18" s="15"/>
      <c r="K18" s="15"/>
      <c r="L18" s="15"/>
      <c r="M18" s="15"/>
      <c r="N18" s="15"/>
      <c r="O18" s="15"/>
      <c r="P18" s="15"/>
      <c r="Q18" s="18"/>
    </row>
    <row r="19" spans="1:24" x14ac:dyDescent="0.25">
      <c r="A19" s="13"/>
      <c r="B19" s="14"/>
      <c r="C19" s="15"/>
      <c r="D19" s="15"/>
      <c r="E19" s="16" t="s">
        <v>27</v>
      </c>
      <c r="F19" s="15"/>
      <c r="G19" s="17"/>
      <c r="H19" s="14"/>
      <c r="I19" s="15"/>
      <c r="J19" s="15"/>
      <c r="K19" s="15"/>
      <c r="L19" s="15"/>
      <c r="M19" s="15"/>
      <c r="N19" s="15"/>
      <c r="O19" s="15"/>
      <c r="P19" s="15"/>
      <c r="Q19" s="18"/>
    </row>
    <row r="20" spans="1:24" x14ac:dyDescent="0.25">
      <c r="A20" s="13"/>
      <c r="B20" s="14"/>
      <c r="C20" s="15"/>
      <c r="D20" s="15"/>
      <c r="E20" s="16" t="s">
        <v>28</v>
      </c>
      <c r="F20" s="15"/>
      <c r="G20" s="17"/>
      <c r="H20" s="14" t="s">
        <v>29</v>
      </c>
      <c r="I20" s="19"/>
      <c r="J20" s="19"/>
      <c r="K20" s="19"/>
      <c r="L20" s="19"/>
      <c r="M20" s="19"/>
      <c r="N20" s="19"/>
      <c r="O20" s="19"/>
      <c r="P20" s="19"/>
      <c r="Q20" s="20"/>
    </row>
    <row r="21" spans="1:24" x14ac:dyDescent="0.25">
      <c r="A21" s="13"/>
      <c r="B21" s="15"/>
      <c r="C21" s="15"/>
      <c r="D21" s="15"/>
      <c r="E21" s="21" t="s">
        <v>30</v>
      </c>
      <c r="F21" s="15"/>
      <c r="G21" s="17"/>
      <c r="H21" s="15"/>
      <c r="I21" s="15"/>
      <c r="J21" s="15"/>
      <c r="K21" s="15"/>
      <c r="L21" s="15"/>
      <c r="M21" s="15"/>
      <c r="N21" s="15"/>
      <c r="O21" s="15"/>
      <c r="P21" s="15"/>
      <c r="Q21" s="13"/>
    </row>
    <row r="22" spans="1:24" x14ac:dyDescent="0.25">
      <c r="A22" s="22">
        <v>1</v>
      </c>
      <c r="B22" s="417">
        <v>2</v>
      </c>
      <c r="C22" s="417"/>
      <c r="D22" s="417"/>
      <c r="E22" s="418">
        <v>3</v>
      </c>
      <c r="F22" s="417"/>
      <c r="G22" s="419"/>
      <c r="H22" s="417">
        <v>4</v>
      </c>
      <c r="I22" s="417"/>
      <c r="J22" s="417"/>
      <c r="K22" s="417"/>
      <c r="L22" s="417"/>
      <c r="M22" s="417"/>
      <c r="N22" s="417"/>
      <c r="O22" s="417"/>
      <c r="P22" s="417"/>
      <c r="Q22" s="22">
        <v>5</v>
      </c>
      <c r="T22" t="s">
        <v>31</v>
      </c>
      <c r="U22" t="s">
        <v>32</v>
      </c>
    </row>
    <row r="23" spans="1:24" x14ac:dyDescent="0.25">
      <c r="A23" s="23">
        <v>1</v>
      </c>
      <c r="B23" s="24" t="s">
        <v>33</v>
      </c>
      <c r="C23" s="24"/>
      <c r="D23" s="24"/>
      <c r="E23" s="25" t="s">
        <v>34</v>
      </c>
      <c r="F23" s="24"/>
      <c r="G23" s="26"/>
      <c r="H23" s="27"/>
      <c r="I23" s="27"/>
      <c r="J23" s="28" t="s">
        <v>10</v>
      </c>
      <c r="K23" s="27"/>
      <c r="L23" s="27"/>
      <c r="M23" s="27"/>
      <c r="N23" s="27"/>
      <c r="O23" s="27"/>
      <c r="P23" s="27"/>
      <c r="Q23" s="29"/>
      <c r="T23" s="142">
        <v>25</v>
      </c>
      <c r="U23">
        <v>25</v>
      </c>
      <c r="X23" s="6"/>
    </row>
    <row r="24" spans="1:24" x14ac:dyDescent="0.25">
      <c r="A24" s="30"/>
      <c r="B24" s="31" t="s">
        <v>35</v>
      </c>
      <c r="C24" s="31"/>
      <c r="D24" s="31"/>
      <c r="E24" s="32" t="s">
        <v>36</v>
      </c>
      <c r="F24" s="31"/>
      <c r="G24" s="33"/>
      <c r="H24" s="34"/>
      <c r="I24" s="34"/>
      <c r="J24" s="35"/>
      <c r="K24" s="34"/>
      <c r="L24" s="34"/>
      <c r="M24" s="34"/>
      <c r="N24" s="34"/>
      <c r="O24" s="34"/>
      <c r="P24" s="34"/>
      <c r="Q24" s="36"/>
    </row>
    <row r="25" spans="1:24" x14ac:dyDescent="0.25">
      <c r="A25" s="30"/>
      <c r="B25" s="31" t="s">
        <v>69</v>
      </c>
      <c r="C25" s="31"/>
      <c r="D25" s="31"/>
      <c r="E25" s="32"/>
      <c r="F25" s="31"/>
      <c r="G25" s="33"/>
      <c r="H25" s="34"/>
      <c r="I25" s="34"/>
      <c r="J25" s="35"/>
      <c r="K25" s="34"/>
      <c r="L25" s="34"/>
      <c r="M25" s="34"/>
      <c r="N25" s="34"/>
      <c r="O25" s="34"/>
      <c r="P25" s="34"/>
      <c r="Q25" s="36"/>
      <c r="T25">
        <f>T23*2*U23/10000</f>
        <v>0.125</v>
      </c>
    </row>
    <row r="26" spans="1:24" x14ac:dyDescent="0.25">
      <c r="A26" s="30"/>
      <c r="B26" s="31"/>
      <c r="C26" s="31" t="s">
        <v>37</v>
      </c>
      <c r="D26" s="31"/>
      <c r="E26" s="32" t="s">
        <v>38</v>
      </c>
      <c r="F26" s="31"/>
      <c r="G26" s="33"/>
      <c r="H26" s="34">
        <f>T25</f>
        <v>0.125</v>
      </c>
      <c r="I26" s="34" t="s">
        <v>39</v>
      </c>
      <c r="J26" s="34">
        <v>3284</v>
      </c>
      <c r="K26" s="34" t="s">
        <v>39</v>
      </c>
      <c r="L26" s="34">
        <v>1.55</v>
      </c>
      <c r="M26" s="34"/>
      <c r="N26" s="34"/>
      <c r="O26" s="34"/>
      <c r="P26" s="34"/>
      <c r="Q26" s="37">
        <f>H26*J26*L26</f>
        <v>636.27499999999998</v>
      </c>
    </row>
    <row r="27" spans="1:24" x14ac:dyDescent="0.25">
      <c r="A27" s="38"/>
      <c r="B27" s="39"/>
      <c r="C27" s="39" t="s">
        <v>40</v>
      </c>
      <c r="D27" s="39"/>
      <c r="E27" s="40" t="s">
        <v>41</v>
      </c>
      <c r="F27" s="39"/>
      <c r="G27" s="41"/>
      <c r="H27" s="42">
        <f>T25</f>
        <v>0.125</v>
      </c>
      <c r="I27" s="42" t="s">
        <v>39</v>
      </c>
      <c r="J27" s="42">
        <v>1067</v>
      </c>
      <c r="K27" s="42" t="s">
        <v>39</v>
      </c>
      <c r="L27" s="43">
        <v>1.75</v>
      </c>
      <c r="M27" s="42" t="s">
        <v>39</v>
      </c>
      <c r="N27" s="42">
        <v>1.1000000000000001</v>
      </c>
      <c r="O27" s="42"/>
      <c r="P27" s="42"/>
      <c r="Q27" s="44">
        <f>H27*J27*L27*N27</f>
        <v>256.74687500000005</v>
      </c>
      <c r="R27" s="45"/>
    </row>
    <row r="28" spans="1:24" x14ac:dyDescent="0.25">
      <c r="A28" s="30">
        <v>2</v>
      </c>
      <c r="B28" s="46" t="s">
        <v>42</v>
      </c>
      <c r="C28" s="31"/>
      <c r="D28" s="31"/>
      <c r="E28" s="32"/>
      <c r="F28" s="31"/>
      <c r="G28" s="33"/>
      <c r="H28" s="34"/>
      <c r="I28" s="34"/>
      <c r="J28" s="34"/>
      <c r="K28" s="34"/>
      <c r="L28" s="47"/>
      <c r="M28" s="34"/>
      <c r="N28" s="34"/>
      <c r="O28" s="34"/>
      <c r="P28" s="34"/>
      <c r="Q28" s="48"/>
    </row>
    <row r="29" spans="1:24" x14ac:dyDescent="0.25">
      <c r="A29" s="30"/>
      <c r="B29" s="49" t="s">
        <v>43</v>
      </c>
      <c r="C29" s="31"/>
      <c r="D29" s="31"/>
      <c r="E29" s="49" t="s">
        <v>44</v>
      </c>
      <c r="F29" s="31"/>
      <c r="G29" s="33"/>
      <c r="H29" s="50">
        <v>13</v>
      </c>
      <c r="I29" s="34" t="s">
        <v>39</v>
      </c>
      <c r="J29" s="51">
        <v>480</v>
      </c>
      <c r="K29" s="34"/>
      <c r="L29" s="47"/>
      <c r="M29" s="34"/>
      <c r="N29" s="34"/>
      <c r="O29" s="34"/>
      <c r="P29" s="34"/>
      <c r="Q29" s="48">
        <f>H29*J29</f>
        <v>6240</v>
      </c>
    </row>
    <row r="30" spans="1:24" x14ac:dyDescent="0.25">
      <c r="A30" s="30"/>
      <c r="B30" s="52" t="s">
        <v>68</v>
      </c>
      <c r="C30" s="31"/>
      <c r="D30" s="31"/>
      <c r="E30" s="32"/>
      <c r="F30" s="31"/>
      <c r="G30" s="33"/>
      <c r="H30" s="34"/>
      <c r="I30" s="34"/>
      <c r="J30" s="34"/>
      <c r="K30" s="34"/>
      <c r="L30" s="47"/>
      <c r="M30" s="34"/>
      <c r="N30" s="34"/>
      <c r="O30" s="34"/>
      <c r="P30" s="34"/>
      <c r="Q30" s="48"/>
    </row>
    <row r="31" spans="1:24" x14ac:dyDescent="0.25">
      <c r="A31" s="30"/>
      <c r="B31" s="31" t="s">
        <v>45</v>
      </c>
      <c r="C31" s="31"/>
      <c r="D31" s="31"/>
      <c r="E31" s="53" t="s">
        <v>46</v>
      </c>
      <c r="F31" s="31"/>
      <c r="G31" s="33"/>
      <c r="H31" s="54">
        <v>1.2999999999999999E-2</v>
      </c>
      <c r="I31" s="34"/>
      <c r="J31" s="34"/>
      <c r="K31" s="34"/>
      <c r="L31" s="47"/>
      <c r="M31" s="34"/>
      <c r="N31" s="34"/>
      <c r="O31" s="34"/>
      <c r="P31" s="34"/>
      <c r="Q31" s="48"/>
    </row>
    <row r="32" spans="1:24" x14ac:dyDescent="0.25">
      <c r="A32" s="55"/>
      <c r="B32" s="56" t="s">
        <v>47</v>
      </c>
      <c r="C32" s="57"/>
      <c r="D32" s="57"/>
      <c r="E32" s="58"/>
      <c r="F32" s="57"/>
      <c r="G32" s="59"/>
      <c r="H32" s="60">
        <v>1.3</v>
      </c>
      <c r="I32" s="61" t="s">
        <v>48</v>
      </c>
      <c r="J32" s="412">
        <f>Q26</f>
        <v>636.27499999999998</v>
      </c>
      <c r="K32" s="412"/>
      <c r="L32" s="412"/>
      <c r="M32" s="62"/>
      <c r="N32" s="62"/>
      <c r="O32" s="62"/>
      <c r="P32" s="62"/>
      <c r="Q32" s="63">
        <f>Q26*H32</f>
        <v>827.15750000000003</v>
      </c>
    </row>
    <row r="33" spans="1:19" x14ac:dyDescent="0.25">
      <c r="A33" s="55">
        <v>2</v>
      </c>
      <c r="B33" s="56" t="s">
        <v>49</v>
      </c>
      <c r="C33" s="57"/>
      <c r="D33" s="57"/>
      <c r="E33" s="58"/>
      <c r="F33" s="57" t="s">
        <v>50</v>
      </c>
      <c r="G33" s="59"/>
      <c r="H33" s="64">
        <v>0.85</v>
      </c>
      <c r="I33" s="61" t="s">
        <v>39</v>
      </c>
      <c r="J33" s="61">
        <f>Q32</f>
        <v>827.15750000000003</v>
      </c>
      <c r="K33" s="61"/>
      <c r="L33" s="61"/>
      <c r="M33" s="62"/>
      <c r="N33" s="62"/>
      <c r="O33" s="62"/>
      <c r="P33" s="62"/>
      <c r="Q33" s="63">
        <f>H33*J33</f>
        <v>703.08387500000003</v>
      </c>
    </row>
    <row r="34" spans="1:19" x14ac:dyDescent="0.25">
      <c r="A34" s="55">
        <v>3</v>
      </c>
      <c r="B34" s="57" t="s">
        <v>51</v>
      </c>
      <c r="C34" s="57"/>
      <c r="D34" s="57"/>
      <c r="E34" s="58"/>
      <c r="F34" s="57" t="s">
        <v>52</v>
      </c>
      <c r="G34" s="59"/>
      <c r="H34" s="65">
        <v>8.7499999999999994E-2</v>
      </c>
      <c r="I34" s="61" t="s">
        <v>53</v>
      </c>
      <c r="J34" s="61">
        <f>Q33</f>
        <v>703.08387500000003</v>
      </c>
      <c r="K34" s="61"/>
      <c r="L34" s="61"/>
      <c r="M34" s="62"/>
      <c r="N34" s="62"/>
      <c r="O34" s="62"/>
      <c r="P34" s="62"/>
      <c r="Q34" s="63">
        <f>H34*J34</f>
        <v>61.519839062499997</v>
      </c>
    </row>
    <row r="35" spans="1:19" x14ac:dyDescent="0.25">
      <c r="A35" s="55">
        <v>4</v>
      </c>
      <c r="B35" s="56" t="s">
        <v>54</v>
      </c>
      <c r="C35" s="57"/>
      <c r="D35" s="57"/>
      <c r="E35" s="58"/>
      <c r="F35" s="57" t="s">
        <v>55</v>
      </c>
      <c r="G35" s="59"/>
      <c r="H35" s="66">
        <v>0.06</v>
      </c>
      <c r="I35" s="61" t="s">
        <v>53</v>
      </c>
      <c r="J35" s="61">
        <f>J34+Q34</f>
        <v>764.60371406249999</v>
      </c>
      <c r="K35" s="61" t="s">
        <v>39</v>
      </c>
      <c r="L35" s="67">
        <v>2.5</v>
      </c>
      <c r="M35" s="62"/>
      <c r="N35" s="62"/>
      <c r="O35" s="62"/>
      <c r="P35" s="62"/>
      <c r="Q35" s="63">
        <f>H35*J35*L35</f>
        <v>114.69055710937499</v>
      </c>
    </row>
    <row r="36" spans="1:19" x14ac:dyDescent="0.25">
      <c r="A36" s="30"/>
      <c r="B36" s="31" t="s">
        <v>56</v>
      </c>
      <c r="C36" s="31" t="s">
        <v>37</v>
      </c>
      <c r="D36" s="31"/>
      <c r="E36" s="32"/>
      <c r="F36" s="31"/>
      <c r="G36" s="33"/>
      <c r="H36" s="34"/>
      <c r="I36" s="34"/>
      <c r="J36" s="34"/>
      <c r="K36" s="34"/>
      <c r="L36" s="34"/>
      <c r="M36" s="34"/>
      <c r="N36" s="34"/>
      <c r="O36" s="34"/>
      <c r="P36" s="34"/>
      <c r="Q36" s="48">
        <f>J35+Q35+1</f>
        <v>880.29427117187493</v>
      </c>
      <c r="S36" t="s">
        <v>10</v>
      </c>
    </row>
    <row r="37" spans="1:19" x14ac:dyDescent="0.25">
      <c r="A37" s="30"/>
      <c r="B37" s="31"/>
      <c r="C37" s="31" t="s">
        <v>40</v>
      </c>
      <c r="D37" s="31"/>
      <c r="E37" s="32"/>
      <c r="F37" s="31"/>
      <c r="G37" s="33"/>
      <c r="H37" s="34"/>
      <c r="I37" s="34"/>
      <c r="J37" s="34"/>
      <c r="K37" s="34"/>
      <c r="L37" s="34"/>
      <c r="M37" s="34"/>
      <c r="N37" s="34"/>
      <c r="O37" s="34"/>
      <c r="P37" s="34"/>
      <c r="Q37" s="48">
        <f>Q27+Q29</f>
        <v>6496.7468749999998</v>
      </c>
    </row>
    <row r="38" spans="1:19" x14ac:dyDescent="0.25">
      <c r="A38" s="23">
        <v>5</v>
      </c>
      <c r="B38" s="24" t="s">
        <v>57</v>
      </c>
      <c r="C38" s="24"/>
      <c r="D38" s="24"/>
      <c r="E38" s="25"/>
      <c r="F38" s="24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9"/>
    </row>
    <row r="39" spans="1:19" x14ac:dyDescent="0.25">
      <c r="A39" s="30"/>
      <c r="B39" s="31"/>
      <c r="C39" s="31" t="s">
        <v>37</v>
      </c>
      <c r="D39" s="31"/>
      <c r="E39" s="32" t="s">
        <v>58</v>
      </c>
      <c r="F39" s="31"/>
      <c r="G39" s="68"/>
      <c r="H39" s="69">
        <v>1.3</v>
      </c>
      <c r="I39" s="51" t="s">
        <v>39</v>
      </c>
      <c r="J39" s="420">
        <f>Q36</f>
        <v>880.29427117187493</v>
      </c>
      <c r="K39" s="420"/>
      <c r="L39" s="420"/>
      <c r="M39" s="34"/>
      <c r="N39" s="34"/>
      <c r="O39" s="34"/>
      <c r="P39" s="34"/>
      <c r="Q39" s="48">
        <f>J39*H39</f>
        <v>1144.3825525234374</v>
      </c>
    </row>
    <row r="40" spans="1:19" x14ac:dyDescent="0.25">
      <c r="A40" s="38"/>
      <c r="B40" s="39"/>
      <c r="C40" s="39" t="s">
        <v>40</v>
      </c>
      <c r="D40" s="39"/>
      <c r="E40" s="40" t="s">
        <v>58</v>
      </c>
      <c r="F40" s="39"/>
      <c r="G40" s="70"/>
      <c r="H40" s="71">
        <v>1.3</v>
      </c>
      <c r="I40" s="72" t="s">
        <v>39</v>
      </c>
      <c r="J40" s="408">
        <f>Q37</f>
        <v>6496.7468749999998</v>
      </c>
      <c r="K40" s="408"/>
      <c r="L40" s="408"/>
      <c r="M40" s="42"/>
      <c r="N40" s="42"/>
      <c r="O40" s="42"/>
      <c r="P40" s="42"/>
      <c r="Q40" s="73">
        <f>H40*J40-1</f>
        <v>8444.7709374999995</v>
      </c>
    </row>
    <row r="41" spans="1:19" x14ac:dyDescent="0.25">
      <c r="A41" s="30"/>
      <c r="B41" s="31" t="s">
        <v>59</v>
      </c>
      <c r="C41" s="31"/>
      <c r="D41" s="31"/>
      <c r="E41" s="32"/>
      <c r="F41" s="31"/>
      <c r="G41" s="33"/>
      <c r="H41" s="34"/>
      <c r="I41" s="34"/>
      <c r="J41" s="34"/>
      <c r="K41" s="34"/>
      <c r="L41" s="34"/>
      <c r="M41" s="34"/>
      <c r="N41" s="34"/>
      <c r="O41" s="34"/>
      <c r="P41" s="34"/>
      <c r="Q41" s="48">
        <f>Q39+Q40</f>
        <v>9589.1534900234365</v>
      </c>
    </row>
    <row r="42" spans="1:19" x14ac:dyDescent="0.25">
      <c r="A42" s="55">
        <v>6</v>
      </c>
      <c r="B42" s="57" t="s">
        <v>60</v>
      </c>
      <c r="C42" s="57"/>
      <c r="D42" s="57"/>
      <c r="E42" s="58" t="s">
        <v>61</v>
      </c>
      <c r="F42" s="57"/>
      <c r="G42" s="59"/>
      <c r="H42" s="74">
        <v>0.04</v>
      </c>
      <c r="I42" s="61" t="s">
        <v>53</v>
      </c>
      <c r="J42" s="75">
        <f>Q41</f>
        <v>9589.1534900234365</v>
      </c>
      <c r="K42" s="76"/>
      <c r="L42" s="76"/>
      <c r="M42" s="57"/>
      <c r="N42" s="77"/>
      <c r="O42" s="62"/>
      <c r="P42" s="62"/>
      <c r="Q42" s="63">
        <f>H42*J42</f>
        <v>383.56613960093745</v>
      </c>
    </row>
    <row r="43" spans="1:19" x14ac:dyDescent="0.25">
      <c r="A43" s="55">
        <v>7</v>
      </c>
      <c r="B43" s="57" t="s">
        <v>62</v>
      </c>
      <c r="C43" s="57"/>
      <c r="D43" s="57"/>
      <c r="E43" s="409" t="s">
        <v>63</v>
      </c>
      <c r="F43" s="410"/>
      <c r="G43" s="411"/>
      <c r="H43" s="143">
        <v>3.99</v>
      </c>
      <c r="I43" s="61" t="s">
        <v>39</v>
      </c>
      <c r="J43" s="412">
        <f>Q41+Q42</f>
        <v>9972.7196296243746</v>
      </c>
      <c r="K43" s="413"/>
      <c r="L43" s="61"/>
      <c r="M43" s="62"/>
      <c r="N43" s="62"/>
      <c r="O43" s="62"/>
      <c r="P43" s="62"/>
      <c r="Q43" s="78">
        <f>H43*J43+1</f>
        <v>39792.151322201258</v>
      </c>
    </row>
    <row r="44" spans="1:19" x14ac:dyDescent="0.25">
      <c r="A44" s="22">
        <v>9</v>
      </c>
      <c r="B44" s="79" t="s">
        <v>64</v>
      </c>
      <c r="C44" s="80"/>
      <c r="D44" s="81"/>
      <c r="E44" s="82"/>
      <c r="F44" s="80"/>
      <c r="G44" s="81"/>
      <c r="H44" s="83"/>
      <c r="I44" s="84"/>
      <c r="J44" s="84"/>
      <c r="K44" s="85"/>
      <c r="L44" s="84"/>
      <c r="M44" s="85"/>
      <c r="N44" s="86"/>
      <c r="O44" s="87"/>
      <c r="P44" s="87"/>
      <c r="Q44" s="88">
        <f>ROUND((Q43),0)</f>
        <v>39792</v>
      </c>
    </row>
    <row r="45" spans="1:19" hidden="1" x14ac:dyDescent="0.25">
      <c r="A45" s="22">
        <v>10</v>
      </c>
      <c r="B45" s="80" t="s">
        <v>65</v>
      </c>
      <c r="C45" s="80"/>
      <c r="D45" s="80"/>
      <c r="E45" s="82" t="s">
        <v>66</v>
      </c>
      <c r="F45" s="80"/>
      <c r="G45" s="81"/>
      <c r="H45" s="89">
        <v>0.18</v>
      </c>
      <c r="I45" s="84" t="s">
        <v>53</v>
      </c>
      <c r="J45" s="414">
        <f>Q43</f>
        <v>39792.151322201258</v>
      </c>
      <c r="K45" s="415"/>
      <c r="L45" s="84"/>
      <c r="M45" s="85"/>
      <c r="N45" s="85"/>
      <c r="O45" s="85"/>
      <c r="P45" s="85"/>
      <c r="Q45" s="90">
        <f>Q44*0.18</f>
        <v>7162.5599999999995</v>
      </c>
    </row>
    <row r="46" spans="1:19" hidden="1" x14ac:dyDescent="0.25">
      <c r="A46" s="22">
        <v>11</v>
      </c>
      <c r="B46" s="80" t="s">
        <v>67</v>
      </c>
      <c r="C46" s="80"/>
      <c r="D46" s="80"/>
      <c r="E46" s="82"/>
      <c r="F46" s="80"/>
      <c r="G46" s="81"/>
      <c r="H46" s="85"/>
      <c r="I46" s="85"/>
      <c r="J46" s="85"/>
      <c r="K46" s="85"/>
      <c r="L46" s="85"/>
      <c r="M46" s="85"/>
      <c r="N46" s="85"/>
      <c r="O46" s="85"/>
      <c r="P46" s="85"/>
      <c r="Q46" s="91">
        <f>Q44+Q45</f>
        <v>46954.559999999998</v>
      </c>
    </row>
    <row r="47" spans="1:19" x14ac:dyDescent="0.25">
      <c r="A47" s="92"/>
    </row>
    <row r="48" spans="1:19" ht="16.5" x14ac:dyDescent="0.25">
      <c r="B48" s="5" t="s">
        <v>5</v>
      </c>
      <c r="C48" s="1"/>
      <c r="D48" s="1"/>
      <c r="E48" s="1"/>
      <c r="I48" s="97" t="s">
        <v>103</v>
      </c>
    </row>
    <row r="49" spans="2:9" ht="16.5" x14ac:dyDescent="0.25">
      <c r="B49" s="5"/>
      <c r="C49" s="1"/>
      <c r="D49" s="1"/>
      <c r="E49" s="1"/>
      <c r="I49" s="1"/>
    </row>
    <row r="50" spans="2:9" ht="16.5" x14ac:dyDescent="0.25">
      <c r="B50" s="5" t="s">
        <v>6</v>
      </c>
      <c r="C50" s="5"/>
      <c r="D50" s="5"/>
      <c r="E50" s="5"/>
      <c r="I50" s="5" t="s">
        <v>7</v>
      </c>
    </row>
  </sheetData>
  <mergeCells count="10">
    <mergeCell ref="B22:D22"/>
    <mergeCell ref="E22:G22"/>
    <mergeCell ref="H22:P22"/>
    <mergeCell ref="J32:L32"/>
    <mergeCell ref="J39:L39"/>
    <mergeCell ref="J40:L40"/>
    <mergeCell ref="E43:G43"/>
    <mergeCell ref="J43:K43"/>
    <mergeCell ref="J45:K45"/>
    <mergeCell ref="E11:Q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view="pageBreakPreview" zoomScaleNormal="100" zoomScaleSheetLayoutView="100" workbookViewId="0">
      <selection activeCell="E67" sqref="E67"/>
    </sheetView>
  </sheetViews>
  <sheetFormatPr defaultColWidth="9.140625" defaultRowHeight="15" x14ac:dyDescent="0.25"/>
  <cols>
    <col min="1" max="1" width="9.140625" style="146"/>
    <col min="2" max="2" width="22.42578125" style="144" customWidth="1"/>
    <col min="3" max="3" width="21.5703125" style="144" customWidth="1"/>
    <col min="4" max="4" width="27.28515625" style="144" customWidth="1"/>
    <col min="5" max="5" width="11.5703125" style="145" bestFit="1" customWidth="1"/>
    <col min="6" max="16384" width="9.140625" style="144"/>
  </cols>
  <sheetData>
    <row r="1" spans="1:6" ht="15.75" x14ac:dyDescent="0.25">
      <c r="A1" s="150" t="s">
        <v>122</v>
      </c>
      <c r="B1" s="150"/>
      <c r="C1"/>
      <c r="D1" s="96" t="s">
        <v>70</v>
      </c>
      <c r="E1" s="151"/>
      <c r="F1" s="151"/>
    </row>
    <row r="2" spans="1:6" ht="15.75" x14ac:dyDescent="0.25">
      <c r="A2" s="150" t="s">
        <v>123</v>
      </c>
      <c r="B2" s="150"/>
      <c r="C2"/>
      <c r="D2" s="97" t="s">
        <v>71</v>
      </c>
      <c r="E2" s="152"/>
      <c r="F2" s="152"/>
    </row>
    <row r="3" spans="1:6" ht="15.75" x14ac:dyDescent="0.25">
      <c r="A3" s="150" t="s">
        <v>124</v>
      </c>
      <c r="B3" s="150"/>
      <c r="C3"/>
      <c r="D3" s="97" t="s">
        <v>72</v>
      </c>
      <c r="E3" s="152"/>
      <c r="F3" s="152"/>
    </row>
    <row r="4" spans="1:6" ht="15.75" x14ac:dyDescent="0.25">
      <c r="A4" s="150" t="s">
        <v>125</v>
      </c>
      <c r="B4" s="150"/>
      <c r="C4"/>
      <c r="D4" s="153"/>
      <c r="E4" s="97" t="s">
        <v>78</v>
      </c>
      <c r="F4" s="152"/>
    </row>
    <row r="5" spans="1:6" ht="15.75" x14ac:dyDescent="0.25">
      <c r="A5" s="150" t="s">
        <v>309</v>
      </c>
      <c r="B5" s="4"/>
      <c r="C5"/>
      <c r="D5" s="96" t="s">
        <v>311</v>
      </c>
      <c r="E5" s="96"/>
      <c r="F5" s="96"/>
    </row>
    <row r="6" spans="1:6" ht="15.75" x14ac:dyDescent="0.25">
      <c r="A6" s="150"/>
      <c r="B6" s="4"/>
      <c r="C6"/>
      <c r="D6" s="96"/>
      <c r="E6" s="96"/>
      <c r="F6" s="96"/>
    </row>
    <row r="7" spans="1:6" ht="15.75" x14ac:dyDescent="0.25">
      <c r="A7" s="154"/>
      <c r="B7" s="154"/>
      <c r="C7" s="232" t="s">
        <v>310</v>
      </c>
      <c r="D7" s="154"/>
      <c r="E7" s="154"/>
      <c r="F7" s="154"/>
    </row>
    <row r="8" spans="1:6" ht="15.75" x14ac:dyDescent="0.25">
      <c r="A8" s="421" t="s">
        <v>128</v>
      </c>
      <c r="B8" s="421"/>
      <c r="C8" s="421"/>
      <c r="D8" s="421"/>
      <c r="E8" s="421"/>
      <c r="F8" s="137"/>
    </row>
    <row r="9" spans="1:6" ht="57.75" customHeight="1" x14ac:dyDescent="0.25">
      <c r="A9" s="424" t="s">
        <v>325</v>
      </c>
      <c r="B9" s="424"/>
      <c r="C9" s="424"/>
      <c r="D9" s="424"/>
      <c r="E9" s="424"/>
      <c r="F9" s="157"/>
    </row>
    <row r="10" spans="1:6" x14ac:dyDescent="0.25">
      <c r="A10" s="158"/>
      <c r="B10" s="159"/>
      <c r="C10" s="159"/>
      <c r="D10" s="159"/>
      <c r="E10" s="159"/>
      <c r="F10"/>
    </row>
    <row r="11" spans="1:6" x14ac:dyDescent="0.25">
      <c r="A11" s="160"/>
      <c r="B11" s="160"/>
      <c r="C11" s="161"/>
      <c r="D11" s="161"/>
      <c r="E11" s="162"/>
      <c r="F11"/>
    </row>
    <row r="12" spans="1:6" ht="96" x14ac:dyDescent="0.25">
      <c r="A12" s="163" t="s">
        <v>73</v>
      </c>
      <c r="B12" s="164" t="s">
        <v>74</v>
      </c>
      <c r="C12" s="164" t="s">
        <v>75</v>
      </c>
      <c r="D12" s="165" t="s">
        <v>129</v>
      </c>
      <c r="E12" s="165" t="s">
        <v>345</v>
      </c>
      <c r="F12"/>
    </row>
    <row r="13" spans="1:6" x14ac:dyDescent="0.25">
      <c r="A13" s="166">
        <v>1</v>
      </c>
      <c r="B13" s="167">
        <v>2</v>
      </c>
      <c r="C13" s="167">
        <v>3</v>
      </c>
      <c r="D13" s="166">
        <v>4</v>
      </c>
      <c r="E13" s="166">
        <v>5</v>
      </c>
      <c r="F13"/>
    </row>
    <row r="14" spans="1:6" x14ac:dyDescent="0.25">
      <c r="A14" s="422" t="s">
        <v>130</v>
      </c>
      <c r="B14" s="423"/>
      <c r="C14" s="423"/>
      <c r="D14" s="423"/>
      <c r="E14" s="423"/>
      <c r="F14"/>
    </row>
    <row r="15" spans="1:6" ht="89.25" x14ac:dyDescent="0.25">
      <c r="A15" s="168">
        <v>1</v>
      </c>
      <c r="B15" s="235" t="s">
        <v>131</v>
      </c>
      <c r="C15" s="169" t="s">
        <v>132</v>
      </c>
      <c r="D15" s="170" t="s">
        <v>326</v>
      </c>
      <c r="E15" s="171">
        <f>0.024*1*1000</f>
        <v>24</v>
      </c>
      <c r="F15"/>
    </row>
    <row r="16" spans="1:6" ht="89.25" x14ac:dyDescent="0.25">
      <c r="A16" s="168">
        <v>2</v>
      </c>
      <c r="B16" s="235" t="s">
        <v>133</v>
      </c>
      <c r="C16" s="169" t="s">
        <v>134</v>
      </c>
      <c r="D16" s="170" t="s">
        <v>327</v>
      </c>
      <c r="E16" s="171">
        <f>0.018*1*1000</f>
        <v>18</v>
      </c>
      <c r="F16"/>
    </row>
    <row r="17" spans="1:6" ht="89.25" x14ac:dyDescent="0.25">
      <c r="A17" s="168">
        <v>3</v>
      </c>
      <c r="B17" s="235" t="s">
        <v>135</v>
      </c>
      <c r="C17" s="169" t="s">
        <v>136</v>
      </c>
      <c r="D17" s="170" t="s">
        <v>328</v>
      </c>
      <c r="E17" s="171">
        <f>1*0.113*1000</f>
        <v>113</v>
      </c>
      <c r="F17"/>
    </row>
    <row r="18" spans="1:6" ht="89.25" x14ac:dyDescent="0.25">
      <c r="A18" s="168">
        <v>4</v>
      </c>
      <c r="B18" s="235" t="s">
        <v>137</v>
      </c>
      <c r="C18" s="169" t="s">
        <v>138</v>
      </c>
      <c r="D18" s="170" t="s">
        <v>329</v>
      </c>
      <c r="E18" s="171">
        <f>0.248*1*1000</f>
        <v>248</v>
      </c>
      <c r="F18"/>
    </row>
    <row r="19" spans="1:6" ht="89.25" x14ac:dyDescent="0.25">
      <c r="A19" s="168">
        <v>5</v>
      </c>
      <c r="B19" s="235" t="s">
        <v>139</v>
      </c>
      <c r="C19" s="169" t="s">
        <v>140</v>
      </c>
      <c r="D19" s="170" t="s">
        <v>330</v>
      </c>
      <c r="E19" s="171">
        <f>0.283*1*1000</f>
        <v>283</v>
      </c>
      <c r="F19"/>
    </row>
    <row r="20" spans="1:6" ht="89.25" x14ac:dyDescent="0.25">
      <c r="A20" s="168">
        <v>6</v>
      </c>
      <c r="B20" s="235" t="s">
        <v>141</v>
      </c>
      <c r="C20" s="169" t="s">
        <v>142</v>
      </c>
      <c r="D20" s="170" t="s">
        <v>331</v>
      </c>
      <c r="E20" s="171">
        <f>0.284*1*1000</f>
        <v>284</v>
      </c>
      <c r="F20"/>
    </row>
    <row r="21" spans="1:6" ht="89.25" x14ac:dyDescent="0.25">
      <c r="A21" s="168">
        <v>7</v>
      </c>
      <c r="B21" s="235" t="s">
        <v>143</v>
      </c>
      <c r="C21" s="169" t="s">
        <v>144</v>
      </c>
      <c r="D21" s="170" t="s">
        <v>332</v>
      </c>
      <c r="E21" s="171">
        <f>0.035*1*1000</f>
        <v>35</v>
      </c>
      <c r="F21"/>
    </row>
    <row r="22" spans="1:6" ht="89.25" x14ac:dyDescent="0.25">
      <c r="A22" s="168">
        <v>8</v>
      </c>
      <c r="B22" s="235" t="s">
        <v>145</v>
      </c>
      <c r="C22" s="169" t="s">
        <v>146</v>
      </c>
      <c r="D22" s="170" t="s">
        <v>333</v>
      </c>
      <c r="E22" s="171">
        <f>0.155*1*1000</f>
        <v>155</v>
      </c>
      <c r="F22"/>
    </row>
    <row r="23" spans="1:6" ht="89.25" x14ac:dyDescent="0.25">
      <c r="A23" s="168">
        <v>9</v>
      </c>
      <c r="B23" s="235" t="s">
        <v>147</v>
      </c>
      <c r="C23" s="169" t="s">
        <v>148</v>
      </c>
      <c r="D23" s="170" t="s">
        <v>334</v>
      </c>
      <c r="E23" s="171">
        <f>0.015*1*1000</f>
        <v>15</v>
      </c>
      <c r="F23"/>
    </row>
    <row r="24" spans="1:6" ht="105" customHeight="1" x14ac:dyDescent="0.25">
      <c r="A24" s="168">
        <v>10</v>
      </c>
      <c r="B24" s="235" t="s">
        <v>149</v>
      </c>
      <c r="C24" s="169" t="s">
        <v>150</v>
      </c>
      <c r="D24" s="170" t="s">
        <v>335</v>
      </c>
      <c r="E24" s="171">
        <f>0.032*1*1000</f>
        <v>32</v>
      </c>
      <c r="F24"/>
    </row>
    <row r="25" spans="1:6" ht="89.25" x14ac:dyDescent="0.25">
      <c r="A25" s="168">
        <v>11</v>
      </c>
      <c r="B25" s="235" t="s">
        <v>151</v>
      </c>
      <c r="C25" s="169" t="s">
        <v>152</v>
      </c>
      <c r="D25" s="170" t="s">
        <v>336</v>
      </c>
      <c r="E25" s="171">
        <f>0.008*2*1000</f>
        <v>16</v>
      </c>
      <c r="F25"/>
    </row>
    <row r="26" spans="1:6" ht="89.25" x14ac:dyDescent="0.25">
      <c r="A26" s="168">
        <v>12</v>
      </c>
      <c r="B26" s="235" t="s">
        <v>153</v>
      </c>
      <c r="C26" s="169" t="s">
        <v>154</v>
      </c>
      <c r="D26" s="170" t="s">
        <v>337</v>
      </c>
      <c r="E26" s="171">
        <f>0.136*2*1000</f>
        <v>272</v>
      </c>
      <c r="F26"/>
    </row>
    <row r="27" spans="1:6" ht="89.25" x14ac:dyDescent="0.25">
      <c r="A27" s="168">
        <v>13</v>
      </c>
      <c r="B27" s="235" t="s">
        <v>155</v>
      </c>
      <c r="C27" s="169" t="s">
        <v>156</v>
      </c>
      <c r="D27" s="170" t="s">
        <v>338</v>
      </c>
      <c r="E27" s="171">
        <f>0.008*1*1000</f>
        <v>8</v>
      </c>
      <c r="F27"/>
    </row>
    <row r="28" spans="1:6" ht="89.25" x14ac:dyDescent="0.25">
      <c r="A28" s="168">
        <v>14</v>
      </c>
      <c r="B28" s="235" t="s">
        <v>157</v>
      </c>
      <c r="C28" s="169" t="s">
        <v>158</v>
      </c>
      <c r="D28" s="170" t="s">
        <v>339</v>
      </c>
      <c r="E28" s="171">
        <f>1.518*1*1000</f>
        <v>1518</v>
      </c>
      <c r="F28"/>
    </row>
    <row r="29" spans="1:6" ht="89.25" x14ac:dyDescent="0.25">
      <c r="A29" s="168">
        <v>15</v>
      </c>
      <c r="B29" s="235" t="s">
        <v>159</v>
      </c>
      <c r="C29" s="169" t="s">
        <v>160</v>
      </c>
      <c r="D29" s="170" t="s">
        <v>340</v>
      </c>
      <c r="E29" s="171">
        <f>0.038*1*1000</f>
        <v>38</v>
      </c>
      <c r="F29"/>
    </row>
    <row r="30" spans="1:6" ht="108" customHeight="1" x14ac:dyDescent="0.25">
      <c r="A30" s="168">
        <v>16</v>
      </c>
      <c r="B30" s="235" t="s">
        <v>161</v>
      </c>
      <c r="C30" s="169" t="s">
        <v>162</v>
      </c>
      <c r="D30" s="170" t="s">
        <v>341</v>
      </c>
      <c r="E30" s="171">
        <f>0.007*10*1000</f>
        <v>70</v>
      </c>
      <c r="F30"/>
    </row>
    <row r="31" spans="1:6" ht="89.25" x14ac:dyDescent="0.25">
      <c r="A31" s="168">
        <v>17</v>
      </c>
      <c r="B31" s="235" t="s">
        <v>163</v>
      </c>
      <c r="C31" s="169" t="s">
        <v>164</v>
      </c>
      <c r="D31" s="170" t="s">
        <v>342</v>
      </c>
      <c r="E31" s="171">
        <f>0.023*10*1000</f>
        <v>229.99999999999997</v>
      </c>
      <c r="F31"/>
    </row>
    <row r="32" spans="1:6" ht="89.25" x14ac:dyDescent="0.25">
      <c r="A32" s="168">
        <v>18</v>
      </c>
      <c r="B32" s="235" t="s">
        <v>143</v>
      </c>
      <c r="C32" s="169" t="s">
        <v>144</v>
      </c>
      <c r="D32" s="170" t="s">
        <v>332</v>
      </c>
      <c r="E32" s="171">
        <f>0.035*1*1000</f>
        <v>35</v>
      </c>
      <c r="F32"/>
    </row>
    <row r="33" spans="1:6" x14ac:dyDescent="0.25">
      <c r="A33" s="422" t="s">
        <v>165</v>
      </c>
      <c r="B33" s="423"/>
      <c r="C33" s="423"/>
      <c r="D33" s="423"/>
      <c r="E33" s="423"/>
      <c r="F33"/>
    </row>
    <row r="34" spans="1:6" ht="89.25" x14ac:dyDescent="0.25">
      <c r="A34" s="168">
        <v>19</v>
      </c>
      <c r="B34" s="172" t="s">
        <v>166</v>
      </c>
      <c r="C34" s="169" t="s">
        <v>167</v>
      </c>
      <c r="D34" s="170" t="s">
        <v>168</v>
      </c>
      <c r="E34" s="171">
        <f>0.09*1*1000</f>
        <v>90</v>
      </c>
      <c r="F34"/>
    </row>
    <row r="35" spans="1:6" ht="89.25" x14ac:dyDescent="0.25">
      <c r="A35" s="168">
        <v>20</v>
      </c>
      <c r="B35" s="172" t="s">
        <v>169</v>
      </c>
      <c r="C35" s="169" t="s">
        <v>170</v>
      </c>
      <c r="D35" s="170" t="s">
        <v>171</v>
      </c>
      <c r="E35" s="171">
        <f>0.006*1*1000</f>
        <v>6</v>
      </c>
      <c r="F35"/>
    </row>
    <row r="36" spans="1:6" ht="89.25" x14ac:dyDescent="0.25">
      <c r="A36" s="168">
        <v>21</v>
      </c>
      <c r="B36" s="172" t="s">
        <v>172</v>
      </c>
      <c r="C36" s="169" t="s">
        <v>173</v>
      </c>
      <c r="D36" s="170" t="s">
        <v>174</v>
      </c>
      <c r="E36" s="171">
        <f>0.001*1*1000</f>
        <v>1</v>
      </c>
      <c r="F36"/>
    </row>
    <row r="37" spans="1:6" ht="89.25" x14ac:dyDescent="0.25">
      <c r="A37" s="168">
        <v>22</v>
      </c>
      <c r="B37" s="172" t="s">
        <v>175</v>
      </c>
      <c r="C37" s="169" t="s">
        <v>176</v>
      </c>
      <c r="D37" s="170" t="s">
        <v>177</v>
      </c>
      <c r="E37" s="171">
        <f>0.063*1*1000</f>
        <v>63</v>
      </c>
      <c r="F37"/>
    </row>
    <row r="38" spans="1:6" ht="89.25" x14ac:dyDescent="0.25">
      <c r="A38" s="168">
        <v>23</v>
      </c>
      <c r="B38" s="172" t="s">
        <v>178</v>
      </c>
      <c r="C38" s="169" t="s">
        <v>179</v>
      </c>
      <c r="D38" s="170" t="s">
        <v>180</v>
      </c>
      <c r="E38" s="171">
        <f>0.062*1*1000</f>
        <v>62</v>
      </c>
      <c r="F38"/>
    </row>
    <row r="39" spans="1:6" ht="89.25" x14ac:dyDescent="0.25">
      <c r="A39" s="168">
        <v>24</v>
      </c>
      <c r="B39" s="172" t="s">
        <v>181</v>
      </c>
      <c r="C39" s="169" t="s">
        <v>182</v>
      </c>
      <c r="D39" s="170" t="s">
        <v>183</v>
      </c>
      <c r="E39" s="171">
        <f>0.008*1*1000</f>
        <v>8</v>
      </c>
      <c r="F39"/>
    </row>
    <row r="40" spans="1:6" ht="114.75" x14ac:dyDescent="0.25">
      <c r="A40" s="168">
        <v>25</v>
      </c>
      <c r="B40" s="172" t="s">
        <v>184</v>
      </c>
      <c r="C40" s="169" t="s">
        <v>185</v>
      </c>
      <c r="D40" s="170" t="s">
        <v>186</v>
      </c>
      <c r="E40" s="171">
        <f>0.01*5*1000</f>
        <v>50</v>
      </c>
      <c r="F40"/>
    </row>
    <row r="41" spans="1:6" ht="127.5" x14ac:dyDescent="0.25">
      <c r="A41" s="168">
        <v>26</v>
      </c>
      <c r="B41" s="172" t="s">
        <v>187</v>
      </c>
      <c r="C41" s="169" t="s">
        <v>188</v>
      </c>
      <c r="D41" s="170" t="s">
        <v>189</v>
      </c>
      <c r="E41" s="171">
        <f>0.0048*5*1000</f>
        <v>23.999999999999996</v>
      </c>
      <c r="F41"/>
    </row>
    <row r="42" spans="1:6" ht="102" x14ac:dyDescent="0.25">
      <c r="A42" s="168">
        <v>27</v>
      </c>
      <c r="B42" s="172" t="s">
        <v>190</v>
      </c>
      <c r="C42" s="169" t="s">
        <v>191</v>
      </c>
      <c r="D42" s="170" t="s">
        <v>192</v>
      </c>
      <c r="E42" s="171">
        <f>0.0083*1*1000</f>
        <v>8.3000000000000007</v>
      </c>
      <c r="F42"/>
    </row>
    <row r="43" spans="1:6" ht="127.5" x14ac:dyDescent="0.25">
      <c r="A43" s="168">
        <v>28</v>
      </c>
      <c r="B43" s="172" t="s">
        <v>193</v>
      </c>
      <c r="C43" s="169" t="s">
        <v>194</v>
      </c>
      <c r="D43" s="170" t="s">
        <v>195</v>
      </c>
      <c r="E43" s="171">
        <f>0.001*5*1000</f>
        <v>5</v>
      </c>
      <c r="F43"/>
    </row>
    <row r="44" spans="1:6" ht="89.25" x14ac:dyDescent="0.25">
      <c r="A44" s="168">
        <v>29</v>
      </c>
      <c r="B44" s="172" t="s">
        <v>196</v>
      </c>
      <c r="C44" s="169" t="s">
        <v>197</v>
      </c>
      <c r="D44" s="170" t="s">
        <v>198</v>
      </c>
      <c r="E44" s="171">
        <f>0.105*1*1000</f>
        <v>105</v>
      </c>
      <c r="F44"/>
    </row>
    <row r="45" spans="1:6" ht="89.25" x14ac:dyDescent="0.25">
      <c r="A45" s="168">
        <v>30</v>
      </c>
      <c r="B45" s="172" t="s">
        <v>199</v>
      </c>
      <c r="C45" s="169" t="s">
        <v>200</v>
      </c>
      <c r="D45" s="170" t="s">
        <v>201</v>
      </c>
      <c r="E45" s="171">
        <f>0.021*1*1000</f>
        <v>21</v>
      </c>
      <c r="F45"/>
    </row>
    <row r="46" spans="1:6" ht="89.25" x14ac:dyDescent="0.25">
      <c r="A46" s="168">
        <v>31</v>
      </c>
      <c r="B46" s="172" t="s">
        <v>202</v>
      </c>
      <c r="C46" s="169" t="s">
        <v>203</v>
      </c>
      <c r="D46" s="170" t="s">
        <v>204</v>
      </c>
      <c r="E46" s="171">
        <f>0.061*1*1000</f>
        <v>61</v>
      </c>
      <c r="F46"/>
    </row>
    <row r="47" spans="1:6" ht="89.25" x14ac:dyDescent="0.25">
      <c r="A47" s="168">
        <v>32</v>
      </c>
      <c r="B47" s="172" t="s">
        <v>205</v>
      </c>
      <c r="C47" s="169" t="s">
        <v>206</v>
      </c>
      <c r="D47" s="170" t="s">
        <v>207</v>
      </c>
      <c r="E47" s="171">
        <f>0.007*1*1000</f>
        <v>7</v>
      </c>
      <c r="F47"/>
    </row>
    <row r="48" spans="1:6" ht="89.25" x14ac:dyDescent="0.25">
      <c r="A48" s="168">
        <v>33</v>
      </c>
      <c r="B48" s="172" t="s">
        <v>208</v>
      </c>
      <c r="C48" s="169" t="s">
        <v>209</v>
      </c>
      <c r="D48" s="170" t="s">
        <v>210</v>
      </c>
      <c r="E48" s="171">
        <f>0.039*1*1000</f>
        <v>39</v>
      </c>
      <c r="F48"/>
    </row>
    <row r="49" spans="1:6" ht="89.25" x14ac:dyDescent="0.25">
      <c r="A49" s="168">
        <v>34</v>
      </c>
      <c r="B49" s="172" t="s">
        <v>211</v>
      </c>
      <c r="C49" s="169" t="s">
        <v>212</v>
      </c>
      <c r="D49" s="170" t="s">
        <v>213</v>
      </c>
      <c r="E49" s="171">
        <f>0.0017*1*1000</f>
        <v>1.7</v>
      </c>
      <c r="F49"/>
    </row>
    <row r="50" spans="1:6" ht="89.25" x14ac:dyDescent="0.25">
      <c r="A50" s="168">
        <v>35</v>
      </c>
      <c r="B50" s="172" t="s">
        <v>214</v>
      </c>
      <c r="C50" s="169" t="s">
        <v>215</v>
      </c>
      <c r="D50" s="170" t="s">
        <v>216</v>
      </c>
      <c r="E50" s="171">
        <f>0.0067*1*1000</f>
        <v>6.7</v>
      </c>
      <c r="F50"/>
    </row>
    <row r="51" spans="1:6" ht="89.25" x14ac:dyDescent="0.25">
      <c r="A51" s="168">
        <v>36</v>
      </c>
      <c r="B51" s="172" t="s">
        <v>217</v>
      </c>
      <c r="C51" s="169" t="s">
        <v>218</v>
      </c>
      <c r="D51" s="170" t="s">
        <v>174</v>
      </c>
      <c r="E51" s="171">
        <f>0.001*1*1000</f>
        <v>1</v>
      </c>
      <c r="F51"/>
    </row>
    <row r="52" spans="1:6" ht="89.25" x14ac:dyDescent="0.25">
      <c r="A52" s="168">
        <v>37</v>
      </c>
      <c r="B52" s="172" t="s">
        <v>219</v>
      </c>
      <c r="C52" s="169" t="s">
        <v>220</v>
      </c>
      <c r="D52" s="170" t="s">
        <v>221</v>
      </c>
      <c r="E52" s="171">
        <f>0.03*1*1000</f>
        <v>30</v>
      </c>
      <c r="F52"/>
    </row>
    <row r="53" spans="1:6" ht="102" x14ac:dyDescent="0.25">
      <c r="A53" s="168">
        <v>38</v>
      </c>
      <c r="B53" s="172" t="s">
        <v>222</v>
      </c>
      <c r="C53" s="169" t="s">
        <v>223</v>
      </c>
      <c r="D53" s="170" t="s">
        <v>174</v>
      </c>
      <c r="E53" s="171">
        <f>0.001*1*1000</f>
        <v>1</v>
      </c>
      <c r="F53"/>
    </row>
    <row r="54" spans="1:6" ht="89.25" x14ac:dyDescent="0.25">
      <c r="A54" s="168">
        <v>39</v>
      </c>
      <c r="B54" s="172" t="s">
        <v>224</v>
      </c>
      <c r="C54" s="169" t="s">
        <v>225</v>
      </c>
      <c r="D54" s="170" t="s">
        <v>226</v>
      </c>
      <c r="E54" s="171">
        <f>0.154*1*1000</f>
        <v>154</v>
      </c>
      <c r="F54"/>
    </row>
    <row r="55" spans="1:6" ht="89.25" x14ac:dyDescent="0.25">
      <c r="A55" s="168">
        <v>40</v>
      </c>
      <c r="B55" s="172" t="s">
        <v>227</v>
      </c>
      <c r="C55" s="169" t="s">
        <v>228</v>
      </c>
      <c r="D55" s="170" t="s">
        <v>229</v>
      </c>
      <c r="E55" s="171">
        <f>0.079*1*1000</f>
        <v>79</v>
      </c>
      <c r="F55"/>
    </row>
    <row r="56" spans="1:6" ht="127.5" x14ac:dyDescent="0.25">
      <c r="A56" s="168">
        <v>41</v>
      </c>
      <c r="B56" s="172" t="s">
        <v>230</v>
      </c>
      <c r="C56" s="169" t="s">
        <v>231</v>
      </c>
      <c r="D56" s="170" t="s">
        <v>232</v>
      </c>
      <c r="E56" s="171">
        <f>0.071*1*1000</f>
        <v>71</v>
      </c>
      <c r="F56"/>
    </row>
    <row r="57" spans="1:6" ht="114.75" x14ac:dyDescent="0.25">
      <c r="A57" s="168">
        <v>42</v>
      </c>
      <c r="B57" s="172" t="s">
        <v>233</v>
      </c>
      <c r="C57" s="169" t="s">
        <v>234</v>
      </c>
      <c r="D57" s="170" t="s">
        <v>210</v>
      </c>
      <c r="E57" s="171">
        <f>0.039*1*1000</f>
        <v>39</v>
      </c>
      <c r="F57"/>
    </row>
    <row r="58" spans="1:6" ht="140.25" x14ac:dyDescent="0.25">
      <c r="A58" s="168">
        <v>43</v>
      </c>
      <c r="B58" s="172" t="s">
        <v>235</v>
      </c>
      <c r="C58" s="169" t="s">
        <v>236</v>
      </c>
      <c r="D58" s="170" t="s">
        <v>237</v>
      </c>
      <c r="E58" s="171">
        <f>0.28*1*1000</f>
        <v>280</v>
      </c>
      <c r="F58"/>
    </row>
    <row r="59" spans="1:6" ht="89.25" x14ac:dyDescent="0.25">
      <c r="A59" s="168">
        <v>44</v>
      </c>
      <c r="B59" s="172" t="s">
        <v>238</v>
      </c>
      <c r="C59" s="169" t="s">
        <v>239</v>
      </c>
      <c r="D59" s="170" t="s">
        <v>240</v>
      </c>
      <c r="E59" s="171">
        <f>0.331*1*1000</f>
        <v>331</v>
      </c>
      <c r="F59"/>
    </row>
    <row r="60" spans="1:6" ht="102" x14ac:dyDescent="0.25">
      <c r="A60" s="168">
        <v>45</v>
      </c>
      <c r="B60" s="172" t="s">
        <v>241</v>
      </c>
      <c r="C60" s="169" t="s">
        <v>242</v>
      </c>
      <c r="D60" s="170" t="s">
        <v>243</v>
      </c>
      <c r="E60" s="171">
        <f>0.201*1*0.5*1000</f>
        <v>100.5</v>
      </c>
      <c r="F60"/>
    </row>
    <row r="61" spans="1:6" x14ac:dyDescent="0.25">
      <c r="A61" s="422" t="s">
        <v>244</v>
      </c>
      <c r="B61" s="423"/>
      <c r="C61" s="423"/>
      <c r="D61" s="423"/>
      <c r="E61" s="423"/>
      <c r="F61"/>
    </row>
    <row r="62" spans="1:6" ht="140.25" x14ac:dyDescent="0.25">
      <c r="A62" s="168">
        <v>46</v>
      </c>
      <c r="B62" s="172" t="s">
        <v>245</v>
      </c>
      <c r="C62" s="169" t="s">
        <v>246</v>
      </c>
      <c r="D62" s="170" t="s">
        <v>247</v>
      </c>
      <c r="E62" s="171">
        <f>0.474*1*1000</f>
        <v>474</v>
      </c>
      <c r="F62"/>
    </row>
    <row r="63" spans="1:6" x14ac:dyDescent="0.25">
      <c r="A63" s="168"/>
      <c r="B63" s="425" t="s">
        <v>248</v>
      </c>
      <c r="C63" s="426"/>
      <c r="D63" s="426"/>
      <c r="E63" s="173">
        <f>SUM(E15:E62)</f>
        <v>5513.2</v>
      </c>
      <c r="F63"/>
    </row>
    <row r="64" spans="1:6" ht="45" customHeight="1" x14ac:dyDescent="0.25">
      <c r="A64" s="168"/>
      <c r="B64" s="427" t="s">
        <v>344</v>
      </c>
      <c r="C64" s="428"/>
      <c r="D64" s="233">
        <v>47.12</v>
      </c>
      <c r="E64" s="236">
        <f>ROUND((E63*D64),0)</f>
        <v>259782</v>
      </c>
      <c r="F64"/>
    </row>
    <row r="65" spans="1:6" ht="59.25" customHeight="1" x14ac:dyDescent="0.25">
      <c r="A65" s="168"/>
      <c r="B65" s="427" t="s">
        <v>343</v>
      </c>
      <c r="C65" s="428"/>
      <c r="D65" s="174">
        <f>(1+0.15+0.15)</f>
        <v>1.2999999999999998</v>
      </c>
      <c r="E65" s="236">
        <f>ROUND((E64*D65),0)</f>
        <v>337717</v>
      </c>
      <c r="F65"/>
    </row>
    <row r="66" spans="1:6" x14ac:dyDescent="0.25">
      <c r="A66" s="175"/>
      <c r="B66" s="425" t="s">
        <v>249</v>
      </c>
      <c r="C66" s="426"/>
      <c r="D66" s="426"/>
      <c r="E66" s="237">
        <f>ROUND((E65),0)</f>
        <v>337717</v>
      </c>
      <c r="F66"/>
    </row>
    <row r="67" spans="1:6" x14ac:dyDescent="0.25">
      <c r="A67" s="176"/>
      <c r="B67" s="177"/>
      <c r="C67" s="178"/>
      <c r="D67" s="179"/>
      <c r="E67" s="180"/>
      <c r="F67"/>
    </row>
    <row r="68" spans="1:6" x14ac:dyDescent="0.25">
      <c r="A68" s="181"/>
      <c r="B68" t="s">
        <v>126</v>
      </c>
      <c r="C68"/>
      <c r="D68"/>
      <c r="E68" t="s">
        <v>118</v>
      </c>
      <c r="F68" s="155"/>
    </row>
    <row r="69" spans="1:6" x14ac:dyDescent="0.25">
      <c r="A69"/>
      <c r="B69"/>
      <c r="C69"/>
      <c r="D69"/>
      <c r="E69"/>
      <c r="F69" s="3"/>
    </row>
    <row r="70" spans="1:6" x14ac:dyDescent="0.25">
      <c r="A70" s="182"/>
      <c r="B70" t="s">
        <v>127</v>
      </c>
      <c r="C70"/>
      <c r="D70"/>
      <c r="E70" t="s">
        <v>7</v>
      </c>
      <c r="F70" s="156"/>
    </row>
    <row r="71" spans="1:6" x14ac:dyDescent="0.25">
      <c r="A71" s="182"/>
      <c r="B71"/>
      <c r="C71"/>
      <c r="D71"/>
      <c r="E71"/>
      <c r="F71" s="156"/>
    </row>
    <row r="72" spans="1:6" x14ac:dyDescent="0.25">
      <c r="A72" s="182"/>
      <c r="B72"/>
      <c r="C72"/>
      <c r="D72"/>
      <c r="E72"/>
      <c r="F72" s="2"/>
    </row>
  </sheetData>
  <mergeCells count="9">
    <mergeCell ref="A8:E8"/>
    <mergeCell ref="A14:E14"/>
    <mergeCell ref="A9:E9"/>
    <mergeCell ref="B66:D66"/>
    <mergeCell ref="A33:E33"/>
    <mergeCell ref="A61:E61"/>
    <mergeCell ref="B63:D63"/>
    <mergeCell ref="B65:C65"/>
    <mergeCell ref="B64:C64"/>
  </mergeCells>
  <pageMargins left="0.70866141732283472" right="0.22" top="0.43" bottom="0.28999999999999998" header="0.31496062992125984" footer="0.16"/>
  <pageSetup paperSize="9" scale="9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view="pageBreakPreview" topLeftCell="A25" zoomScaleNormal="100" zoomScaleSheetLayoutView="100" workbookViewId="0">
      <selection activeCell="G42" sqref="G42"/>
    </sheetView>
  </sheetViews>
  <sheetFormatPr defaultRowHeight="15" x14ac:dyDescent="0.25"/>
  <cols>
    <col min="1" max="1" width="6.42578125" customWidth="1"/>
    <col min="2" max="2" width="20.28515625" customWidth="1"/>
    <col min="3" max="4" width="13" customWidth="1"/>
    <col min="5" max="5" width="28.5703125" customWidth="1"/>
    <col min="6" max="7" width="12.5703125" customWidth="1"/>
    <col min="9" max="9" width="5.28515625" customWidth="1"/>
  </cols>
  <sheetData>
    <row r="1" spans="1:7" x14ac:dyDescent="0.25">
      <c r="A1" s="93"/>
    </row>
    <row r="3" spans="1:7" x14ac:dyDescent="0.25">
      <c r="A3" s="95"/>
      <c r="E3" s="96" t="s">
        <v>70</v>
      </c>
    </row>
    <row r="4" spans="1:7" x14ac:dyDescent="0.25">
      <c r="A4" s="97"/>
      <c r="E4" s="97" t="s">
        <v>71</v>
      </c>
    </row>
    <row r="5" spans="1:7" x14ac:dyDescent="0.25">
      <c r="A5" s="97"/>
      <c r="E5" s="97" t="s">
        <v>72</v>
      </c>
    </row>
    <row r="6" spans="1:7" x14ac:dyDescent="0.25">
      <c r="A6" s="97"/>
      <c r="E6" s="98"/>
      <c r="F6" s="97" t="s">
        <v>78</v>
      </c>
    </row>
    <row r="7" spans="1:7" x14ac:dyDescent="0.25">
      <c r="A7" s="97"/>
      <c r="E7" s="99" t="s">
        <v>311</v>
      </c>
    </row>
    <row r="9" spans="1:7" ht="15.75" x14ac:dyDescent="0.25">
      <c r="A9" s="101"/>
      <c r="B9" s="101"/>
      <c r="C9" s="101"/>
      <c r="D9" s="101"/>
      <c r="E9" s="101"/>
      <c r="F9" s="101"/>
      <c r="G9" s="102"/>
    </row>
    <row r="10" spans="1:7" ht="15.75" x14ac:dyDescent="0.25">
      <c r="A10" s="429" t="s">
        <v>77</v>
      </c>
      <c r="B10" s="429"/>
      <c r="C10" s="429"/>
      <c r="D10" s="429"/>
      <c r="E10" s="429"/>
      <c r="F10" s="429"/>
      <c r="G10" s="429"/>
    </row>
    <row r="11" spans="1:7" x14ac:dyDescent="0.25">
      <c r="A11" s="430" t="s">
        <v>104</v>
      </c>
      <c r="B11" s="430"/>
      <c r="C11" s="430"/>
      <c r="D11" s="430"/>
      <c r="E11" s="430"/>
      <c r="F11" s="430"/>
      <c r="G11" s="430"/>
    </row>
    <row r="12" spans="1:7" x14ac:dyDescent="0.25">
      <c r="A12" s="430" t="e">
        <f>#REF!</f>
        <v>#REF!</v>
      </c>
      <c r="B12" s="430"/>
      <c r="C12" s="430"/>
      <c r="D12" s="430"/>
      <c r="E12" s="430"/>
      <c r="F12" s="430"/>
      <c r="G12" s="430"/>
    </row>
    <row r="13" spans="1:7" x14ac:dyDescent="0.25">
      <c r="A13" s="431" t="e">
        <f>#REF!</f>
        <v>#REF!</v>
      </c>
      <c r="B13" s="431"/>
      <c r="C13" s="431"/>
      <c r="D13" s="431"/>
      <c r="E13" s="431"/>
      <c r="F13" s="431"/>
      <c r="G13" s="431"/>
    </row>
    <row r="14" spans="1:7" ht="30.75" customHeight="1" x14ac:dyDescent="0.25">
      <c r="A14" s="431"/>
      <c r="B14" s="431"/>
      <c r="C14" s="431"/>
      <c r="D14" s="431"/>
      <c r="E14" s="431"/>
      <c r="F14" s="431"/>
      <c r="G14" s="431"/>
    </row>
    <row r="15" spans="1:7" x14ac:dyDescent="0.25">
      <c r="A15" s="103" t="s">
        <v>79</v>
      </c>
      <c r="B15" s="2"/>
      <c r="C15" s="2"/>
      <c r="D15" s="2"/>
      <c r="E15" s="2"/>
      <c r="F15" s="2"/>
      <c r="G15" s="2"/>
    </row>
    <row r="16" spans="1:7" x14ac:dyDescent="0.25">
      <c r="A16" s="103" t="s">
        <v>80</v>
      </c>
      <c r="B16" s="2"/>
      <c r="C16" s="2"/>
      <c r="D16" s="2"/>
      <c r="E16" s="2"/>
      <c r="F16" s="2"/>
      <c r="G16" s="2"/>
    </row>
    <row r="17" spans="1:7" ht="76.5" x14ac:dyDescent="0.25">
      <c r="A17" s="104" t="s">
        <v>81</v>
      </c>
      <c r="B17" s="104" t="s">
        <v>82</v>
      </c>
      <c r="C17" s="104" t="s">
        <v>110</v>
      </c>
      <c r="D17" s="104" t="s">
        <v>111</v>
      </c>
      <c r="E17" s="104" t="s">
        <v>112</v>
      </c>
      <c r="F17" s="104" t="s">
        <v>83</v>
      </c>
      <c r="G17" s="104" t="s">
        <v>113</v>
      </c>
    </row>
    <row r="18" spans="1:7" x14ac:dyDescent="0.25">
      <c r="A18" s="105">
        <v>1</v>
      </c>
      <c r="B18" s="105">
        <v>2</v>
      </c>
      <c r="C18" s="105">
        <v>3</v>
      </c>
      <c r="D18" s="105">
        <v>4</v>
      </c>
      <c r="E18" s="105">
        <v>5</v>
      </c>
      <c r="F18" s="105">
        <v>6</v>
      </c>
      <c r="G18" s="105">
        <v>7</v>
      </c>
    </row>
    <row r="19" spans="1:7" x14ac:dyDescent="0.25">
      <c r="A19" s="104">
        <v>1</v>
      </c>
      <c r="B19" s="106" t="s">
        <v>84</v>
      </c>
      <c r="C19" s="107">
        <v>1</v>
      </c>
      <c r="D19" s="108">
        <v>3</v>
      </c>
      <c r="E19" s="107">
        <v>1</v>
      </c>
      <c r="F19" s="104">
        <v>1.85</v>
      </c>
      <c r="G19" s="104">
        <f>ROUND((C19*E19*F19/D22),3)</f>
        <v>0.308</v>
      </c>
    </row>
    <row r="20" spans="1:7" ht="13.5" customHeight="1" x14ac:dyDescent="0.25">
      <c r="A20" s="104">
        <v>2</v>
      </c>
      <c r="B20" s="106" t="s">
        <v>85</v>
      </c>
      <c r="C20" s="107">
        <v>2</v>
      </c>
      <c r="D20" s="108">
        <v>4</v>
      </c>
      <c r="E20" s="107">
        <v>1</v>
      </c>
      <c r="F20" s="104">
        <v>1</v>
      </c>
      <c r="G20" s="104">
        <f>ROUND((C20*E20*F20/D22),3)</f>
        <v>0.33300000000000002</v>
      </c>
    </row>
    <row r="21" spans="1:7" x14ac:dyDescent="0.25">
      <c r="A21" s="104">
        <v>3</v>
      </c>
      <c r="B21" s="106" t="s">
        <v>86</v>
      </c>
      <c r="C21" s="107">
        <v>6</v>
      </c>
      <c r="D21" s="108">
        <v>5</v>
      </c>
      <c r="E21" s="107">
        <v>1</v>
      </c>
      <c r="F21" s="104">
        <v>0.75</v>
      </c>
      <c r="G21" s="104">
        <f>ROUND((C21*E21*F21/D22),3)</f>
        <v>0.75</v>
      </c>
    </row>
    <row r="22" spans="1:7" x14ac:dyDescent="0.25">
      <c r="A22" s="104"/>
      <c r="B22" s="104" t="s">
        <v>64</v>
      </c>
      <c r="C22" s="104"/>
      <c r="D22" s="104">
        <v>6</v>
      </c>
      <c r="E22" s="104">
        <f>SUM(E19:E21)</f>
        <v>3</v>
      </c>
      <c r="F22" s="104"/>
      <c r="G22" s="109">
        <f>ROUND(SUM(G19:G21)/E22,3)</f>
        <v>0.46400000000000002</v>
      </c>
    </row>
    <row r="23" spans="1:7" x14ac:dyDescent="0.25">
      <c r="A23" s="110"/>
      <c r="B23" s="110"/>
      <c r="C23" s="110"/>
      <c r="D23" s="110"/>
      <c r="E23" s="110"/>
      <c r="F23" s="110"/>
      <c r="G23" s="110"/>
    </row>
    <row r="24" spans="1:7" x14ac:dyDescent="0.25">
      <c r="A24" s="103" t="s">
        <v>87</v>
      </c>
      <c r="B24" s="110"/>
      <c r="C24" s="2"/>
      <c r="D24" s="2"/>
      <c r="E24" s="110"/>
      <c r="F24" s="110"/>
      <c r="G24" s="110"/>
    </row>
    <row r="25" spans="1:7" ht="25.5" x14ac:dyDescent="0.25">
      <c r="A25" s="104" t="s">
        <v>81</v>
      </c>
      <c r="B25" s="111" t="s">
        <v>88</v>
      </c>
      <c r="C25" s="112"/>
      <c r="D25" s="112"/>
      <c r="E25" s="112"/>
      <c r="F25" s="104" t="s">
        <v>89</v>
      </c>
      <c r="G25" s="110"/>
    </row>
    <row r="26" spans="1:7" x14ac:dyDescent="0.25">
      <c r="A26" s="113">
        <v>1</v>
      </c>
      <c r="B26" s="114"/>
      <c r="C26" s="115">
        <v>2</v>
      </c>
      <c r="D26" s="116"/>
      <c r="E26" s="116"/>
      <c r="F26" s="117">
        <v>3</v>
      </c>
      <c r="G26" s="110"/>
    </row>
    <row r="27" spans="1:7" x14ac:dyDescent="0.25">
      <c r="A27" s="118">
        <v>1</v>
      </c>
      <c r="B27" s="119" t="s">
        <v>90</v>
      </c>
      <c r="C27" s="120"/>
      <c r="D27" s="121"/>
      <c r="E27" s="122"/>
      <c r="F27" s="138">
        <v>10483</v>
      </c>
      <c r="G27" s="110"/>
    </row>
    <row r="28" spans="1:7" x14ac:dyDescent="0.25">
      <c r="A28" s="123"/>
      <c r="B28" s="124" t="s">
        <v>91</v>
      </c>
      <c r="C28" s="125"/>
      <c r="D28" s="126"/>
      <c r="E28" s="127"/>
      <c r="F28" s="128"/>
      <c r="G28" s="110"/>
    </row>
    <row r="29" spans="1:7" x14ac:dyDescent="0.25">
      <c r="A29" s="104">
        <v>3</v>
      </c>
      <c r="B29" s="129" t="s">
        <v>92</v>
      </c>
      <c r="C29" s="130"/>
      <c r="D29" s="112"/>
      <c r="E29" s="131"/>
      <c r="F29" s="107">
        <v>21</v>
      </c>
      <c r="G29" s="110"/>
    </row>
    <row r="30" spans="1:7" x14ac:dyDescent="0.25">
      <c r="A30" s="104">
        <v>4</v>
      </c>
      <c r="B30" s="129" t="s">
        <v>93</v>
      </c>
      <c r="C30" s="130"/>
      <c r="D30" s="112"/>
      <c r="E30" s="131"/>
      <c r="F30" s="132">
        <f>ROUND(F27/F29,3)</f>
        <v>499.19</v>
      </c>
      <c r="G30" s="110"/>
    </row>
    <row r="31" spans="1:7" x14ac:dyDescent="0.25">
      <c r="A31" s="104">
        <v>5</v>
      </c>
      <c r="B31" s="129" t="s">
        <v>94</v>
      </c>
      <c r="C31" s="130"/>
      <c r="D31" s="112"/>
      <c r="E31" s="131"/>
      <c r="F31" s="104">
        <v>40</v>
      </c>
      <c r="G31" s="110"/>
    </row>
    <row r="32" spans="1:7" x14ac:dyDescent="0.25">
      <c r="A32" s="104">
        <v>6</v>
      </c>
      <c r="B32" s="129" t="s">
        <v>95</v>
      </c>
      <c r="C32" s="130"/>
      <c r="D32" s="112"/>
      <c r="E32" s="131"/>
      <c r="F32" s="132">
        <f>F30/(F31*0.01)</f>
        <v>1247.9749999999999</v>
      </c>
      <c r="G32" s="110"/>
    </row>
    <row r="33" spans="1:20" x14ac:dyDescent="0.25">
      <c r="A33" s="104">
        <v>7</v>
      </c>
      <c r="B33" s="129" t="s">
        <v>96</v>
      </c>
      <c r="C33" s="130"/>
      <c r="D33" s="112"/>
      <c r="E33" s="131"/>
      <c r="F33" s="104">
        <f>D22</f>
        <v>6</v>
      </c>
      <c r="G33" s="110"/>
    </row>
    <row r="34" spans="1:20" x14ac:dyDescent="0.25">
      <c r="A34" s="104">
        <v>8</v>
      </c>
      <c r="B34" s="129" t="s">
        <v>97</v>
      </c>
      <c r="C34" s="130"/>
      <c r="D34" s="112"/>
      <c r="E34" s="131"/>
      <c r="F34" s="104">
        <f>E22</f>
        <v>3</v>
      </c>
      <c r="G34" s="110"/>
    </row>
    <row r="35" spans="1:20" x14ac:dyDescent="0.25">
      <c r="A35" s="104">
        <v>9</v>
      </c>
      <c r="B35" s="129" t="s">
        <v>98</v>
      </c>
      <c r="C35" s="130"/>
      <c r="D35" s="112"/>
      <c r="E35" s="131"/>
      <c r="F35" s="109">
        <f>G22</f>
        <v>0.46400000000000002</v>
      </c>
      <c r="G35" s="110"/>
      <c r="O35" t="s">
        <v>120</v>
      </c>
      <c r="T35" t="s">
        <v>121</v>
      </c>
    </row>
    <row r="36" spans="1:20" x14ac:dyDescent="0.25">
      <c r="A36" s="104">
        <v>10</v>
      </c>
      <c r="B36" s="129" t="s">
        <v>114</v>
      </c>
      <c r="C36" s="130"/>
      <c r="D36" s="112"/>
      <c r="E36" s="131"/>
      <c r="F36" s="104">
        <f>ROUND(F33*F34*F35*F32/1000,3)</f>
        <v>10.423</v>
      </c>
      <c r="G36" s="110"/>
    </row>
    <row r="37" spans="1:20" x14ac:dyDescent="0.25">
      <c r="A37" s="133"/>
      <c r="B37" s="94"/>
      <c r="C37" s="134"/>
      <c r="D37" s="121"/>
      <c r="E37" s="121"/>
      <c r="F37" s="133"/>
      <c r="G37" s="110"/>
    </row>
    <row r="38" spans="1:20" x14ac:dyDescent="0.25">
      <c r="A38" s="103" t="s">
        <v>99</v>
      </c>
      <c r="B38" s="110"/>
      <c r="C38" s="2"/>
      <c r="D38" s="110"/>
      <c r="E38" s="110"/>
      <c r="F38" s="110"/>
      <c r="G38" s="110"/>
    </row>
    <row r="39" spans="1:20" ht="116.25" customHeight="1" x14ac:dyDescent="0.25">
      <c r="A39" s="104" t="s">
        <v>81</v>
      </c>
      <c r="B39" s="104" t="s">
        <v>114</v>
      </c>
      <c r="C39" s="104" t="s">
        <v>115</v>
      </c>
      <c r="D39" s="104" t="s">
        <v>116</v>
      </c>
      <c r="E39" s="139" t="s">
        <v>101</v>
      </c>
      <c r="F39" s="139" t="s">
        <v>102</v>
      </c>
      <c r="G39" s="104" t="s">
        <v>117</v>
      </c>
      <c r="K39" t="s">
        <v>119</v>
      </c>
    </row>
    <row r="40" spans="1:20" x14ac:dyDescent="0.25">
      <c r="A40" s="113">
        <v>1</v>
      </c>
      <c r="B40" s="113">
        <v>2</v>
      </c>
      <c r="C40" s="113">
        <v>3</v>
      </c>
      <c r="D40" s="113">
        <v>4</v>
      </c>
      <c r="E40" s="113">
        <v>5</v>
      </c>
      <c r="F40" s="113">
        <v>6</v>
      </c>
      <c r="G40" s="113">
        <v>6</v>
      </c>
    </row>
    <row r="41" spans="1:20" x14ac:dyDescent="0.25">
      <c r="A41" s="104">
        <v>1</v>
      </c>
      <c r="B41" s="104">
        <f>F36</f>
        <v>10.423</v>
      </c>
      <c r="C41" s="107">
        <v>0.08</v>
      </c>
      <c r="D41" s="147">
        <v>4.09</v>
      </c>
      <c r="E41" s="140">
        <v>1.1200000000000001</v>
      </c>
      <c r="F41" s="141">
        <v>1.101</v>
      </c>
      <c r="G41" s="149">
        <f>ROUND(((B41*(1+C41)*D41)*(1+(E41-1)+(F41-1))*1000),0)</f>
        <v>56215</v>
      </c>
    </row>
    <row r="42" spans="1:20" x14ac:dyDescent="0.25">
      <c r="A42" s="133"/>
      <c r="B42" s="133"/>
      <c r="C42" s="135"/>
      <c r="D42" s="135"/>
      <c r="E42" s="136"/>
      <c r="F42" s="110"/>
      <c r="G42" s="110"/>
      <c r="M42" s="100" t="s">
        <v>100</v>
      </c>
    </row>
    <row r="43" spans="1:20" x14ac:dyDescent="0.25">
      <c r="A43" s="97" t="s">
        <v>76</v>
      </c>
      <c r="B43" s="97"/>
      <c r="F43" s="97" t="s">
        <v>118</v>
      </c>
    </row>
    <row r="44" spans="1:20" x14ac:dyDescent="0.25">
      <c r="A44" s="97"/>
      <c r="B44" s="97"/>
      <c r="F44" s="97"/>
    </row>
    <row r="45" spans="1:20" x14ac:dyDescent="0.25">
      <c r="A45" s="97" t="s">
        <v>6</v>
      </c>
      <c r="B45" s="97"/>
      <c r="F45" s="97" t="s">
        <v>7</v>
      </c>
    </row>
    <row r="47" spans="1:20" x14ac:dyDescent="0.25">
      <c r="A47" s="97"/>
      <c r="B47" s="93"/>
      <c r="C47" s="97"/>
      <c r="F47" s="97"/>
    </row>
  </sheetData>
  <mergeCells count="4">
    <mergeCell ref="A10:G10"/>
    <mergeCell ref="A11:G11"/>
    <mergeCell ref="A12:G12"/>
    <mergeCell ref="A13:G14"/>
  </mergeCells>
  <hyperlinks>
    <hyperlink ref="M42" location="свод!A1" display="свод"/>
  </hyperlink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I23" sqref="I23"/>
    </sheetView>
  </sheetViews>
  <sheetFormatPr defaultRowHeight="15" x14ac:dyDescent="0.25"/>
  <cols>
    <col min="2" max="2" width="31" customWidth="1"/>
    <col min="6" max="6" width="20.140625" customWidth="1"/>
  </cols>
  <sheetData>
    <row r="1" spans="1:6" x14ac:dyDescent="0.25">
      <c r="A1" s="440"/>
      <c r="B1" s="440"/>
      <c r="C1" s="440"/>
      <c r="D1" s="440"/>
      <c r="E1" s="440"/>
      <c r="F1" s="440"/>
    </row>
    <row r="2" spans="1:6" x14ac:dyDescent="0.25">
      <c r="A2" s="188"/>
      <c r="B2" s="188"/>
      <c r="C2" s="188"/>
      <c r="D2" s="188"/>
      <c r="E2" s="188"/>
      <c r="F2" s="188"/>
    </row>
    <row r="3" spans="1:6" x14ac:dyDescent="0.25">
      <c r="A3" s="189"/>
      <c r="B3" s="188"/>
      <c r="C3" s="188"/>
      <c r="D3" s="190"/>
      <c r="E3" s="188"/>
      <c r="F3" s="188" t="s">
        <v>0</v>
      </c>
    </row>
    <row r="4" spans="1:6" x14ac:dyDescent="0.25">
      <c r="A4" s="190"/>
      <c r="B4" s="190"/>
      <c r="C4" s="190"/>
      <c r="D4" s="190" t="s">
        <v>256</v>
      </c>
      <c r="E4" s="190"/>
      <c r="F4" s="190"/>
    </row>
    <row r="5" spans="1:6" x14ac:dyDescent="0.25">
      <c r="A5" s="190"/>
      <c r="B5" s="190"/>
      <c r="C5" s="190"/>
      <c r="D5" s="190" t="s">
        <v>257</v>
      </c>
      <c r="E5" s="190"/>
      <c r="F5" s="190"/>
    </row>
    <row r="6" spans="1:6" x14ac:dyDescent="0.25">
      <c r="A6" s="190"/>
      <c r="B6" s="190"/>
      <c r="C6" s="190"/>
      <c r="D6" s="190" t="s">
        <v>258</v>
      </c>
      <c r="E6" s="190"/>
      <c r="F6" s="190"/>
    </row>
    <row r="7" spans="1:6" x14ac:dyDescent="0.25">
      <c r="A7" s="190"/>
      <c r="B7" s="190"/>
      <c r="C7" s="190"/>
      <c r="D7" s="190" t="s">
        <v>259</v>
      </c>
      <c r="E7" s="190"/>
      <c r="F7" s="190"/>
    </row>
    <row r="8" spans="1:6" x14ac:dyDescent="0.25">
      <c r="A8" s="190"/>
      <c r="B8" s="190"/>
      <c r="C8" s="190"/>
      <c r="D8" s="190"/>
      <c r="E8" s="190"/>
      <c r="F8" s="190"/>
    </row>
    <row r="9" spans="1:6" x14ac:dyDescent="0.25">
      <c r="A9" s="190"/>
      <c r="B9" s="190"/>
      <c r="C9" s="190"/>
      <c r="D9" s="190"/>
      <c r="E9" s="190"/>
      <c r="F9" s="190"/>
    </row>
    <row r="10" spans="1:6" x14ac:dyDescent="0.25">
      <c r="A10" s="190"/>
      <c r="B10" s="190"/>
      <c r="C10" s="190"/>
      <c r="D10" s="190"/>
      <c r="E10" s="190"/>
      <c r="F10" s="190"/>
    </row>
    <row r="11" spans="1:6" ht="15.75" x14ac:dyDescent="0.25">
      <c r="A11" s="421" t="s">
        <v>260</v>
      </c>
      <c r="B11" s="421"/>
      <c r="C11" s="421"/>
      <c r="D11" s="421"/>
      <c r="E11" s="421"/>
      <c r="F11" s="421"/>
    </row>
    <row r="12" spans="1:6" x14ac:dyDescent="0.25">
      <c r="A12" s="441" t="s">
        <v>261</v>
      </c>
      <c r="B12" s="441"/>
      <c r="C12" s="441"/>
      <c r="D12" s="441"/>
      <c r="E12" s="441"/>
      <c r="F12" s="441"/>
    </row>
    <row r="13" spans="1:6" x14ac:dyDescent="0.25">
      <c r="A13" s="191"/>
      <c r="B13" s="191" t="s">
        <v>262</v>
      </c>
      <c r="C13" s="191"/>
      <c r="D13" s="192"/>
      <c r="E13" s="191"/>
      <c r="F13" s="193"/>
    </row>
    <row r="14" spans="1:6" x14ac:dyDescent="0.25">
      <c r="A14" s="442" t="s">
        <v>263</v>
      </c>
      <c r="B14" s="443"/>
      <c r="C14" s="443"/>
      <c r="D14" s="443"/>
      <c r="E14" s="443"/>
      <c r="F14" s="444"/>
    </row>
    <row r="15" spans="1:6" ht="23.25" x14ac:dyDescent="0.25">
      <c r="A15" s="194" t="s">
        <v>264</v>
      </c>
      <c r="B15" s="194" t="s">
        <v>265</v>
      </c>
      <c r="C15" s="195" t="s">
        <v>266</v>
      </c>
      <c r="D15" s="195" t="s">
        <v>267</v>
      </c>
      <c r="E15" s="194" t="s">
        <v>268</v>
      </c>
      <c r="F15" s="194" t="s">
        <v>269</v>
      </c>
    </row>
    <row r="16" spans="1:6" ht="82.5" customHeight="1" x14ac:dyDescent="0.25">
      <c r="A16" s="194">
        <v>1</v>
      </c>
      <c r="B16" s="196" t="s">
        <v>270</v>
      </c>
      <c r="C16" s="195" t="s">
        <v>271</v>
      </c>
      <c r="D16" s="197">
        <v>10.28</v>
      </c>
      <c r="E16" s="194">
        <v>0.15</v>
      </c>
      <c r="F16" s="198">
        <f>SUM(D16*E16)</f>
        <v>1.5419999999999998</v>
      </c>
    </row>
    <row r="17" spans="1:6" x14ac:dyDescent="0.25">
      <c r="A17" s="199"/>
      <c r="B17" s="200"/>
      <c r="C17" s="201" t="s">
        <v>4</v>
      </c>
      <c r="D17" s="202"/>
      <c r="E17" s="199"/>
      <c r="F17" s="203">
        <f>SUM(F16:F16)</f>
        <v>1.5419999999999998</v>
      </c>
    </row>
    <row r="18" spans="1:6" ht="23.25" x14ac:dyDescent="0.25">
      <c r="A18" s="191"/>
      <c r="B18" s="191"/>
      <c r="C18" s="204" t="s">
        <v>272</v>
      </c>
      <c r="D18" s="205">
        <v>550</v>
      </c>
      <c r="E18" s="191"/>
      <c r="F18" s="206">
        <f>F17*D18</f>
        <v>848.09999999999991</v>
      </c>
    </row>
    <row r="19" spans="1:6" x14ac:dyDescent="0.25">
      <c r="A19" s="191"/>
      <c r="B19" s="435" t="s">
        <v>273</v>
      </c>
      <c r="C19" s="435"/>
      <c r="D19" s="207">
        <v>0.30199999999999999</v>
      </c>
      <c r="E19" s="191"/>
      <c r="F19" s="206">
        <f>F18*D19</f>
        <v>256.12619999999998</v>
      </c>
    </row>
    <row r="20" spans="1:6" x14ac:dyDescent="0.25">
      <c r="A20" s="191"/>
      <c r="B20" s="191"/>
      <c r="C20" s="201" t="s">
        <v>4</v>
      </c>
      <c r="D20" s="191"/>
      <c r="E20" s="191"/>
      <c r="F20" s="208">
        <f>SUM(F18+F19)</f>
        <v>1104.2261999999998</v>
      </c>
    </row>
    <row r="21" spans="1:6" x14ac:dyDescent="0.25">
      <c r="A21" s="442" t="s">
        <v>274</v>
      </c>
      <c r="B21" s="443"/>
      <c r="C21" s="443"/>
      <c r="D21" s="443"/>
      <c r="E21" s="443"/>
      <c r="F21" s="444"/>
    </row>
    <row r="22" spans="1:6" ht="23.25" x14ac:dyDescent="0.25">
      <c r="A22" s="194" t="s">
        <v>264</v>
      </c>
      <c r="B22" s="194" t="s">
        <v>265</v>
      </c>
      <c r="C22" s="195" t="s">
        <v>266</v>
      </c>
      <c r="D22" s="195" t="s">
        <v>267</v>
      </c>
      <c r="E22" s="194" t="s">
        <v>268</v>
      </c>
      <c r="F22" s="209" t="s">
        <v>269</v>
      </c>
    </row>
    <row r="23" spans="1:6" ht="23.25" x14ac:dyDescent="0.25">
      <c r="A23" s="194">
        <v>1</v>
      </c>
      <c r="B23" s="210" t="s">
        <v>275</v>
      </c>
      <c r="C23" s="195" t="s">
        <v>276</v>
      </c>
      <c r="D23" s="211">
        <v>1.2</v>
      </c>
      <c r="E23" s="194">
        <v>3</v>
      </c>
      <c r="F23" s="212">
        <f>SUM(D23*E23)</f>
        <v>3.5999999999999996</v>
      </c>
    </row>
    <row r="24" spans="1:6" ht="23.25" x14ac:dyDescent="0.25">
      <c r="A24" s="194">
        <v>2</v>
      </c>
      <c r="B24" s="213" t="s">
        <v>277</v>
      </c>
      <c r="C24" s="195" t="s">
        <v>278</v>
      </c>
      <c r="D24" s="211">
        <v>0.25</v>
      </c>
      <c r="E24" s="194">
        <f>2.3*2.7*2.7*3</f>
        <v>50.301000000000002</v>
      </c>
      <c r="F24" s="212">
        <f>SUM(D24*E24)</f>
        <v>12.57525</v>
      </c>
    </row>
    <row r="25" spans="1:6" x14ac:dyDescent="0.25">
      <c r="A25" s="194">
        <v>3</v>
      </c>
      <c r="B25" s="213" t="s">
        <v>279</v>
      </c>
      <c r="C25" s="195" t="s">
        <v>280</v>
      </c>
      <c r="D25" s="211">
        <v>3.5</v>
      </c>
      <c r="E25" s="194">
        <f>E24</f>
        <v>50.301000000000002</v>
      </c>
      <c r="F25" s="212">
        <f>SUM(D25*E25)</f>
        <v>176.05350000000001</v>
      </c>
    </row>
    <row r="26" spans="1:6" ht="23.25" x14ac:dyDescent="0.25">
      <c r="A26" s="194">
        <v>4</v>
      </c>
      <c r="B26" s="213" t="s">
        <v>281</v>
      </c>
      <c r="C26" s="195" t="s">
        <v>282</v>
      </c>
      <c r="D26" s="211">
        <v>0.13</v>
      </c>
      <c r="E26" s="194">
        <f>E24</f>
        <v>50.301000000000002</v>
      </c>
      <c r="F26" s="212">
        <f>SUM(D26*E26)</f>
        <v>6.5391300000000001</v>
      </c>
    </row>
    <row r="27" spans="1:6" ht="23.25" x14ac:dyDescent="0.25">
      <c r="A27" s="194">
        <v>5</v>
      </c>
      <c r="B27" s="210" t="s">
        <v>283</v>
      </c>
      <c r="C27" s="195" t="s">
        <v>284</v>
      </c>
      <c r="D27" s="211">
        <v>1.24</v>
      </c>
      <c r="E27" s="194">
        <v>3</v>
      </c>
      <c r="F27" s="212">
        <f>SUM(D27*E27)</f>
        <v>3.7199999999999998</v>
      </c>
    </row>
    <row r="28" spans="1:6" x14ac:dyDescent="0.25">
      <c r="A28" s="199"/>
      <c r="B28" s="200"/>
      <c r="C28" s="201" t="s">
        <v>4</v>
      </c>
      <c r="D28" s="202"/>
      <c r="E28" s="199"/>
      <c r="F28" s="214">
        <f>SUM(F23:F27)</f>
        <v>202.48788000000002</v>
      </c>
    </row>
    <row r="29" spans="1:6" ht="23.25" x14ac:dyDescent="0.25">
      <c r="A29" s="199"/>
      <c r="B29" s="191"/>
      <c r="C29" s="204" t="s">
        <v>272</v>
      </c>
      <c r="D29" s="205">
        <v>550</v>
      </c>
      <c r="E29" s="191"/>
      <c r="F29" s="215">
        <f>F28*D29</f>
        <v>111368.33400000002</v>
      </c>
    </row>
    <row r="30" spans="1:6" x14ac:dyDescent="0.25">
      <c r="A30" s="191"/>
      <c r="B30" s="435" t="s">
        <v>273</v>
      </c>
      <c r="C30" s="435"/>
      <c r="D30" s="207">
        <v>0.30199999999999999</v>
      </c>
      <c r="E30" s="191"/>
      <c r="F30" s="215">
        <f>F29*D30</f>
        <v>33633.236868000007</v>
      </c>
    </row>
    <row r="31" spans="1:6" x14ac:dyDescent="0.25">
      <c r="A31" s="191"/>
      <c r="B31" s="191"/>
      <c r="C31" s="201" t="s">
        <v>4</v>
      </c>
      <c r="D31" s="191"/>
      <c r="E31" s="191"/>
      <c r="F31" s="215">
        <f>SUM(F29+F30)</f>
        <v>145001.57086800004</v>
      </c>
    </row>
    <row r="32" spans="1:6" x14ac:dyDescent="0.25">
      <c r="A32" s="191"/>
      <c r="B32" s="435" t="s">
        <v>54</v>
      </c>
      <c r="C32" s="435"/>
      <c r="D32" s="216">
        <v>0.15</v>
      </c>
      <c r="E32" s="217"/>
      <c r="F32" s="215">
        <f>F31*D32</f>
        <v>21750.235630200004</v>
      </c>
    </row>
    <row r="33" spans="1:6" x14ac:dyDescent="0.25">
      <c r="A33" s="191"/>
      <c r="B33" s="191"/>
      <c r="C33" s="435" t="s">
        <v>285</v>
      </c>
      <c r="D33" s="435"/>
      <c r="E33" s="435"/>
      <c r="F33" s="218">
        <f>F31+F32</f>
        <v>166751.80649820005</v>
      </c>
    </row>
    <row r="34" spans="1:6" x14ac:dyDescent="0.25">
      <c r="A34" s="436" t="s">
        <v>286</v>
      </c>
      <c r="B34" s="436"/>
      <c r="C34" s="436"/>
      <c r="D34" s="436"/>
      <c r="E34" s="436"/>
      <c r="F34" s="436"/>
    </row>
    <row r="35" spans="1:6" ht="23.25" x14ac:dyDescent="0.25">
      <c r="A35" s="194" t="s">
        <v>264</v>
      </c>
      <c r="B35" s="194" t="s">
        <v>265</v>
      </c>
      <c r="C35" s="195" t="s">
        <v>266</v>
      </c>
      <c r="D35" s="195" t="s">
        <v>267</v>
      </c>
      <c r="E35" s="194" t="s">
        <v>268</v>
      </c>
      <c r="F35" s="194" t="s">
        <v>269</v>
      </c>
    </row>
    <row r="36" spans="1:6" ht="23.25" x14ac:dyDescent="0.25">
      <c r="A36" s="194">
        <v>1</v>
      </c>
      <c r="B36" s="213" t="s">
        <v>287</v>
      </c>
      <c r="C36" s="195" t="s">
        <v>288</v>
      </c>
      <c r="D36" s="211">
        <v>10.34</v>
      </c>
      <c r="E36" s="194">
        <v>1</v>
      </c>
      <c r="F36" s="198">
        <f>SUM(D36*E36)</f>
        <v>10.34</v>
      </c>
    </row>
    <row r="37" spans="1:6" ht="23.25" x14ac:dyDescent="0.25">
      <c r="A37" s="194">
        <v>2</v>
      </c>
      <c r="B37" s="195" t="s">
        <v>289</v>
      </c>
      <c r="C37" s="195" t="s">
        <v>290</v>
      </c>
      <c r="D37" s="197">
        <v>2.4</v>
      </c>
      <c r="E37" s="194">
        <v>1</v>
      </c>
      <c r="F37" s="198">
        <f>SUM(D37*E37)</f>
        <v>2.4</v>
      </c>
    </row>
    <row r="38" spans="1:6" ht="23.25" x14ac:dyDescent="0.25">
      <c r="A38" s="194">
        <v>3</v>
      </c>
      <c r="B38" s="213" t="s">
        <v>291</v>
      </c>
      <c r="C38" s="195" t="s">
        <v>292</v>
      </c>
      <c r="D38" s="211">
        <v>0.6</v>
      </c>
      <c r="E38" s="194">
        <v>3</v>
      </c>
      <c r="F38" s="198">
        <f>SUM(D38*E38)</f>
        <v>1.7999999999999998</v>
      </c>
    </row>
    <row r="39" spans="1:6" ht="23.25" x14ac:dyDescent="0.25">
      <c r="A39" s="194">
        <v>4</v>
      </c>
      <c r="B39" s="195" t="s">
        <v>293</v>
      </c>
      <c r="C39" s="195" t="s">
        <v>292</v>
      </c>
      <c r="D39" s="197">
        <v>0.36</v>
      </c>
      <c r="E39" s="194">
        <v>2</v>
      </c>
      <c r="F39" s="198">
        <f>SUM(D39*E39)</f>
        <v>0.72</v>
      </c>
    </row>
    <row r="40" spans="1:6" ht="23.25" x14ac:dyDescent="0.25">
      <c r="A40" s="194">
        <v>5</v>
      </c>
      <c r="B40" s="195" t="s">
        <v>294</v>
      </c>
      <c r="C40" s="195" t="s">
        <v>292</v>
      </c>
      <c r="D40" s="197">
        <v>1.42</v>
      </c>
      <c r="E40" s="194">
        <v>2</v>
      </c>
      <c r="F40" s="198">
        <f>SUM(D40*E40)</f>
        <v>2.84</v>
      </c>
    </row>
    <row r="41" spans="1:6" x14ac:dyDescent="0.25">
      <c r="A41" s="199"/>
      <c r="B41" s="200"/>
      <c r="C41" s="201" t="s">
        <v>4</v>
      </c>
      <c r="D41" s="202"/>
      <c r="E41" s="199"/>
      <c r="F41" s="214">
        <f>SUM(F36:F40)</f>
        <v>18.100000000000001</v>
      </c>
    </row>
    <row r="42" spans="1:6" ht="23.25" x14ac:dyDescent="0.25">
      <c r="A42" s="199"/>
      <c r="B42" s="191"/>
      <c r="C42" s="204" t="s">
        <v>272</v>
      </c>
      <c r="D42" s="205">
        <v>550</v>
      </c>
      <c r="E42" s="191"/>
      <c r="F42" s="215">
        <f>F41*D42</f>
        <v>9955</v>
      </c>
    </row>
    <row r="43" spans="1:6" x14ac:dyDescent="0.25">
      <c r="A43" s="199"/>
      <c r="B43" s="445" t="s">
        <v>295</v>
      </c>
      <c r="C43" s="445"/>
      <c r="D43" s="205">
        <v>1.2</v>
      </c>
      <c r="E43" s="191"/>
      <c r="F43" s="215">
        <f>F42*D43</f>
        <v>11946</v>
      </c>
    </row>
    <row r="44" spans="1:6" x14ac:dyDescent="0.25">
      <c r="A44" s="199"/>
      <c r="B44" s="435" t="s">
        <v>273</v>
      </c>
      <c r="C44" s="435"/>
      <c r="D44" s="207">
        <v>0.30199999999999999</v>
      </c>
      <c r="E44" s="191"/>
      <c r="F44" s="215">
        <f>F43*D44</f>
        <v>3607.692</v>
      </c>
    </row>
    <row r="45" spans="1:6" x14ac:dyDescent="0.25">
      <c r="A45" s="199"/>
      <c r="B45" s="191"/>
      <c r="C45" s="201" t="s">
        <v>4</v>
      </c>
      <c r="D45" s="191"/>
      <c r="E45" s="191"/>
      <c r="F45" s="219">
        <f>SUM(F42+F44)</f>
        <v>13562.691999999999</v>
      </c>
    </row>
    <row r="46" spans="1:6" x14ac:dyDescent="0.25">
      <c r="A46" s="191"/>
      <c r="B46" s="201"/>
      <c r="C46" s="220" t="s">
        <v>296</v>
      </c>
      <c r="D46" s="221" t="s">
        <v>297</v>
      </c>
      <c r="E46" s="191"/>
      <c r="F46" s="208">
        <f>SUM(F45+F33+F20)</f>
        <v>181418.72469820007</v>
      </c>
    </row>
    <row r="47" spans="1:6" x14ac:dyDescent="0.25">
      <c r="A47" s="191"/>
      <c r="B47" s="201"/>
      <c r="C47" s="435" t="s">
        <v>298</v>
      </c>
      <c r="D47" s="435"/>
      <c r="E47" s="435"/>
      <c r="F47" s="206">
        <f>SUM(F46*15%)</f>
        <v>27212.808704730011</v>
      </c>
    </row>
    <row r="48" spans="1:6" x14ac:dyDescent="0.25">
      <c r="A48" s="191"/>
      <c r="B48" s="201"/>
      <c r="C48" s="435" t="s">
        <v>299</v>
      </c>
      <c r="D48" s="435"/>
      <c r="E48" s="435"/>
      <c r="F48" s="206">
        <f>SUM(F46+F47)</f>
        <v>208631.53340293007</v>
      </c>
    </row>
    <row r="49" spans="1:6" x14ac:dyDescent="0.25">
      <c r="A49" s="191"/>
      <c r="B49" s="201"/>
      <c r="C49" s="435" t="s">
        <v>300</v>
      </c>
      <c r="D49" s="435"/>
      <c r="E49" s="435"/>
      <c r="F49" s="206">
        <f>SUM(F48*10%)</f>
        <v>20863.153340293007</v>
      </c>
    </row>
    <row r="50" spans="1:6" x14ac:dyDescent="0.25">
      <c r="A50" s="191"/>
      <c r="B50" s="201"/>
      <c r="C50" s="201" t="s">
        <v>299</v>
      </c>
      <c r="D50" s="201"/>
      <c r="E50" s="191"/>
      <c r="F50" s="208">
        <f>SUM(F48+F49)</f>
        <v>229494.68674322308</v>
      </c>
    </row>
    <row r="51" spans="1:6" x14ac:dyDescent="0.25">
      <c r="A51" s="436" t="s">
        <v>301</v>
      </c>
      <c r="B51" s="436"/>
      <c r="C51" s="436"/>
      <c r="D51" s="436"/>
      <c r="E51" s="436"/>
      <c r="F51" s="436"/>
    </row>
    <row r="52" spans="1:6" x14ac:dyDescent="0.25">
      <c r="A52" s="210" t="s">
        <v>264</v>
      </c>
      <c r="B52" s="210"/>
      <c r="C52" s="209" t="s">
        <v>302</v>
      </c>
      <c r="D52" s="209" t="s">
        <v>303</v>
      </c>
      <c r="E52" s="209" t="s">
        <v>304</v>
      </c>
      <c r="F52" s="209" t="s">
        <v>305</v>
      </c>
    </row>
    <row r="53" spans="1:6" x14ac:dyDescent="0.25">
      <c r="A53" s="222">
        <v>1</v>
      </c>
      <c r="B53" s="437" t="s">
        <v>306</v>
      </c>
      <c r="C53" s="438"/>
      <c r="D53" s="438"/>
      <c r="E53" s="439"/>
      <c r="F53" s="223">
        <f>F46*5%</f>
        <v>9070.9362349100029</v>
      </c>
    </row>
    <row r="54" spans="1:6" x14ac:dyDescent="0.25">
      <c r="A54" s="222">
        <v>2</v>
      </c>
      <c r="B54" s="437" t="s">
        <v>307</v>
      </c>
      <c r="C54" s="438"/>
      <c r="D54" s="438"/>
      <c r="E54" s="439"/>
      <c r="F54" s="223">
        <f>F46*5%</f>
        <v>9070.9362349100029</v>
      </c>
    </row>
    <row r="55" spans="1:6" x14ac:dyDescent="0.25">
      <c r="A55" s="222">
        <v>3</v>
      </c>
      <c r="B55" s="213" t="s">
        <v>308</v>
      </c>
      <c r="C55" s="194">
        <v>1</v>
      </c>
      <c r="D55" s="224">
        <v>1</v>
      </c>
      <c r="E55" s="194">
        <v>2000</v>
      </c>
      <c r="F55" s="223">
        <f>C55*D55*E55</f>
        <v>2000</v>
      </c>
    </row>
    <row r="56" spans="1:6" x14ac:dyDescent="0.25">
      <c r="A56" s="432" t="s">
        <v>299</v>
      </c>
      <c r="B56" s="433"/>
      <c r="C56" s="433"/>
      <c r="D56" s="433"/>
      <c r="E56" s="434"/>
      <c r="F56" s="223">
        <f>SUM(F53:F55)</f>
        <v>20141.872469820006</v>
      </c>
    </row>
    <row r="57" spans="1:6" x14ac:dyDescent="0.25">
      <c r="A57" s="191"/>
      <c r="B57" s="191"/>
      <c r="C57" s="201" t="s">
        <v>254</v>
      </c>
      <c r="D57" s="201"/>
      <c r="E57" s="191"/>
      <c r="F57" s="208">
        <f>SUM(F56+F50)</f>
        <v>249636.55921304307</v>
      </c>
    </row>
    <row r="58" spans="1:6" x14ac:dyDescent="0.25">
      <c r="A58" s="225"/>
      <c r="B58" s="225"/>
      <c r="C58" s="201"/>
      <c r="D58" s="201"/>
      <c r="E58" s="226"/>
      <c r="F58" s="227"/>
    </row>
    <row r="59" spans="1:6" x14ac:dyDescent="0.25">
      <c r="A59" s="225"/>
      <c r="B59" s="225"/>
      <c r="C59" s="201"/>
      <c r="D59" s="201"/>
      <c r="E59" s="226"/>
      <c r="F59" s="208"/>
    </row>
    <row r="60" spans="1:6" x14ac:dyDescent="0.25">
      <c r="A60" s="191"/>
      <c r="B60" s="191"/>
      <c r="C60" s="201"/>
      <c r="D60" s="201"/>
      <c r="E60" s="191"/>
      <c r="F60" s="228"/>
    </row>
    <row r="61" spans="1:6" x14ac:dyDescent="0.25">
      <c r="A61" s="229"/>
      <c r="B61" s="2" t="s">
        <v>5</v>
      </c>
      <c r="C61" s="230"/>
      <c r="D61" s="231" t="s">
        <v>118</v>
      </c>
      <c r="E61" s="148"/>
      <c r="F61" s="148"/>
    </row>
  </sheetData>
  <mergeCells count="19">
    <mergeCell ref="B44:C44"/>
    <mergeCell ref="A1:F1"/>
    <mergeCell ref="A11:F11"/>
    <mergeCell ref="A12:F12"/>
    <mergeCell ref="A14:F14"/>
    <mergeCell ref="B19:C19"/>
    <mergeCell ref="A21:F21"/>
    <mergeCell ref="B30:C30"/>
    <mergeCell ref="B32:C32"/>
    <mergeCell ref="C33:E33"/>
    <mergeCell ref="A34:F34"/>
    <mergeCell ref="B43:C43"/>
    <mergeCell ref="A56:E56"/>
    <mergeCell ref="C47:E47"/>
    <mergeCell ref="C48:E48"/>
    <mergeCell ref="C49:E49"/>
    <mergeCell ref="A51:F51"/>
    <mergeCell ref="B53:E53"/>
    <mergeCell ref="B54:E5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A31" sqref="A31:I31"/>
    </sheetView>
  </sheetViews>
  <sheetFormatPr defaultRowHeight="15" x14ac:dyDescent="0.25"/>
  <cols>
    <col min="3" max="3" width="25.85546875" customWidth="1"/>
    <col min="7" max="7" width="11.5703125" customWidth="1"/>
    <col min="8" max="8" width="19.42578125" customWidth="1"/>
    <col min="9" max="9" width="14" customWidth="1"/>
  </cols>
  <sheetData>
    <row r="1" spans="1:9" x14ac:dyDescent="0.25">
      <c r="A1" s="457" t="s">
        <v>348</v>
      </c>
      <c r="B1" s="457"/>
      <c r="C1" s="457"/>
      <c r="D1" s="455" t="s">
        <v>349</v>
      </c>
      <c r="E1" s="455"/>
      <c r="F1" s="455"/>
      <c r="G1" s="455"/>
      <c r="H1" s="455"/>
      <c r="I1" s="455"/>
    </row>
    <row r="2" spans="1:9" x14ac:dyDescent="0.25">
      <c r="A2" s="247"/>
      <c r="B2" s="247"/>
      <c r="C2" s="247"/>
      <c r="D2" s="248"/>
      <c r="E2" s="248"/>
      <c r="F2" s="248"/>
      <c r="G2" s="248"/>
      <c r="H2" s="248"/>
      <c r="I2" s="248"/>
    </row>
    <row r="3" spans="1:9" x14ac:dyDescent="0.25">
      <c r="A3" s="482" t="s">
        <v>350</v>
      </c>
      <c r="B3" s="482"/>
      <c r="C3" s="482"/>
      <c r="D3" s="482"/>
      <c r="E3" s="482"/>
      <c r="F3" s="482"/>
      <c r="G3" s="482"/>
      <c r="H3" s="482"/>
      <c r="I3" s="482"/>
    </row>
    <row r="4" spans="1:9" x14ac:dyDescent="0.25">
      <c r="A4" s="483"/>
      <c r="B4" s="483"/>
      <c r="C4" s="483"/>
      <c r="D4" s="483"/>
      <c r="E4" s="483"/>
      <c r="F4" s="483"/>
      <c r="G4" s="483"/>
      <c r="H4" s="483"/>
      <c r="I4" s="483"/>
    </row>
    <row r="5" spans="1:9" x14ac:dyDescent="0.25">
      <c r="A5" s="482" t="s">
        <v>351</v>
      </c>
      <c r="B5" s="482"/>
      <c r="C5" s="482"/>
      <c r="D5" s="482"/>
      <c r="E5" s="482"/>
      <c r="F5" s="482"/>
      <c r="G5" s="482"/>
      <c r="H5" s="482"/>
      <c r="I5" s="482"/>
    </row>
    <row r="6" spans="1:9" x14ac:dyDescent="0.25">
      <c r="A6" s="469"/>
      <c r="B6" s="469"/>
      <c r="C6" s="469"/>
      <c r="D6" s="469"/>
      <c r="E6" s="469"/>
      <c r="F6" s="469"/>
      <c r="G6" s="469"/>
      <c r="H6" s="469"/>
      <c r="I6" s="469"/>
    </row>
    <row r="7" spans="1:9" x14ac:dyDescent="0.25">
      <c r="A7" s="456" t="s">
        <v>361</v>
      </c>
      <c r="B7" s="456"/>
      <c r="C7" s="456"/>
      <c r="D7" s="456"/>
      <c r="E7" s="456"/>
      <c r="F7" s="456"/>
      <c r="G7" s="456"/>
      <c r="H7" s="456"/>
      <c r="I7" s="456"/>
    </row>
    <row r="8" spans="1:9" x14ac:dyDescent="0.25">
      <c r="A8" s="481" t="s">
        <v>9</v>
      </c>
      <c r="B8" s="481"/>
      <c r="C8" s="481"/>
      <c r="D8" s="481"/>
      <c r="E8" s="481"/>
      <c r="F8" s="481"/>
      <c r="G8" s="481"/>
      <c r="H8" s="481"/>
      <c r="I8" s="481"/>
    </row>
    <row r="9" spans="1:9" ht="35.25" customHeight="1" x14ac:dyDescent="0.25">
      <c r="A9" s="480" t="s">
        <v>363</v>
      </c>
      <c r="B9" s="480"/>
      <c r="C9" s="480"/>
      <c r="D9" s="480"/>
      <c r="E9" s="480"/>
      <c r="F9" s="480"/>
      <c r="G9" s="480"/>
      <c r="H9" s="480"/>
      <c r="I9" s="480"/>
    </row>
    <row r="10" spans="1:9" ht="48" customHeight="1" x14ac:dyDescent="0.25">
      <c r="A10" s="456" t="s">
        <v>346</v>
      </c>
      <c r="B10" s="456"/>
      <c r="C10" s="456"/>
      <c r="D10" s="456"/>
      <c r="E10" s="456"/>
      <c r="F10" s="456"/>
      <c r="G10" s="456"/>
      <c r="H10" s="456"/>
      <c r="I10" s="456"/>
    </row>
    <row r="11" spans="1:9" x14ac:dyDescent="0.25">
      <c r="A11" s="239"/>
      <c r="B11" s="239"/>
      <c r="C11" s="239"/>
      <c r="D11" s="240"/>
      <c r="E11" s="240"/>
      <c r="F11" s="240"/>
      <c r="G11" s="240"/>
      <c r="H11" s="239"/>
      <c r="I11" s="239"/>
    </row>
    <row r="12" spans="1:9" ht="72" customHeight="1" x14ac:dyDescent="0.25">
      <c r="A12" s="242" t="s">
        <v>73</v>
      </c>
      <c r="B12" s="458" t="s">
        <v>312</v>
      </c>
      <c r="C12" s="459"/>
      <c r="D12" s="458" t="s">
        <v>313</v>
      </c>
      <c r="E12" s="460"/>
      <c r="F12" s="460"/>
      <c r="G12" s="459"/>
      <c r="H12" s="243" t="s">
        <v>314</v>
      </c>
      <c r="I12" s="242" t="s">
        <v>315</v>
      </c>
    </row>
    <row r="13" spans="1:9" x14ac:dyDescent="0.25">
      <c r="A13" s="244" t="s">
        <v>316</v>
      </c>
      <c r="B13" s="446">
        <v>2</v>
      </c>
      <c r="C13" s="448"/>
      <c r="D13" s="446">
        <v>3</v>
      </c>
      <c r="E13" s="447"/>
      <c r="F13" s="447"/>
      <c r="G13" s="448"/>
      <c r="H13" s="241">
        <v>4</v>
      </c>
      <c r="I13" s="241">
        <v>5</v>
      </c>
    </row>
    <row r="14" spans="1:9" ht="199.5" customHeight="1" x14ac:dyDescent="0.25">
      <c r="A14" s="254" t="s">
        <v>316</v>
      </c>
      <c r="B14" s="484" t="s">
        <v>364</v>
      </c>
      <c r="C14" s="485"/>
      <c r="D14" s="486" t="s">
        <v>365</v>
      </c>
      <c r="E14" s="487"/>
      <c r="F14" s="487"/>
      <c r="G14" s="488"/>
      <c r="H14" s="258" t="s">
        <v>373</v>
      </c>
      <c r="I14" s="269">
        <f>30500*0.88*0.9*0.5</f>
        <v>12078</v>
      </c>
    </row>
    <row r="15" spans="1:9" x14ac:dyDescent="0.25">
      <c r="A15" s="261" t="s">
        <v>317</v>
      </c>
      <c r="B15" s="452" t="s">
        <v>318</v>
      </c>
      <c r="C15" s="453"/>
      <c r="D15" s="452"/>
      <c r="E15" s="454"/>
      <c r="F15" s="454"/>
      <c r="G15" s="453"/>
      <c r="H15" s="262"/>
      <c r="I15" s="263"/>
    </row>
    <row r="16" spans="1:9" x14ac:dyDescent="0.25">
      <c r="A16" s="264" t="s">
        <v>317</v>
      </c>
      <c r="B16" s="449" t="s">
        <v>319</v>
      </c>
      <c r="C16" s="450"/>
      <c r="D16" s="449" t="s">
        <v>366</v>
      </c>
      <c r="E16" s="451"/>
      <c r="F16" s="451"/>
      <c r="G16" s="450"/>
      <c r="H16" s="267"/>
      <c r="I16" s="268"/>
    </row>
    <row r="17" spans="1:9" ht="21" customHeight="1" x14ac:dyDescent="0.25">
      <c r="A17" s="264" t="s">
        <v>317</v>
      </c>
      <c r="B17" s="449" t="s">
        <v>320</v>
      </c>
      <c r="C17" s="450"/>
      <c r="D17" s="449" t="s">
        <v>321</v>
      </c>
      <c r="E17" s="451"/>
      <c r="F17" s="451"/>
      <c r="G17" s="450"/>
      <c r="H17" s="267"/>
      <c r="I17" s="268"/>
    </row>
    <row r="18" spans="1:9" ht="51.75" customHeight="1" x14ac:dyDescent="0.25">
      <c r="A18" s="264" t="s">
        <v>317</v>
      </c>
      <c r="B18" s="449" t="s">
        <v>367</v>
      </c>
      <c r="C18" s="450"/>
      <c r="D18" s="449" t="s">
        <v>368</v>
      </c>
      <c r="E18" s="451"/>
      <c r="F18" s="451"/>
      <c r="G18" s="450"/>
      <c r="H18" s="267"/>
      <c r="I18" s="268"/>
    </row>
    <row r="19" spans="1:9" ht="112.5" customHeight="1" x14ac:dyDescent="0.25">
      <c r="A19" s="264" t="s">
        <v>317</v>
      </c>
      <c r="B19" s="449" t="s">
        <v>369</v>
      </c>
      <c r="C19" s="450"/>
      <c r="D19" s="449" t="s">
        <v>370</v>
      </c>
      <c r="E19" s="451"/>
      <c r="F19" s="451"/>
      <c r="G19" s="450"/>
      <c r="H19" s="267"/>
      <c r="I19" s="268"/>
    </row>
    <row r="20" spans="1:9" x14ac:dyDescent="0.25">
      <c r="A20" s="264" t="s">
        <v>317</v>
      </c>
      <c r="B20" s="461" t="s">
        <v>322</v>
      </c>
      <c r="C20" s="462"/>
      <c r="D20" s="461"/>
      <c r="E20" s="463"/>
      <c r="F20" s="463"/>
      <c r="G20" s="462"/>
      <c r="H20" s="265"/>
      <c r="I20" s="266"/>
    </row>
    <row r="21" spans="1:9" x14ac:dyDescent="0.25">
      <c r="A21" s="255" t="s">
        <v>317</v>
      </c>
      <c r="B21" s="464" t="s">
        <v>371</v>
      </c>
      <c r="C21" s="465"/>
      <c r="D21" s="466">
        <v>0.5</v>
      </c>
      <c r="E21" s="467"/>
      <c r="F21" s="467"/>
      <c r="G21" s="468"/>
      <c r="H21" s="259"/>
      <c r="I21" s="260"/>
    </row>
    <row r="22" spans="1:9" x14ac:dyDescent="0.25">
      <c r="A22" s="255" t="s">
        <v>105</v>
      </c>
      <c r="B22" s="470" t="s">
        <v>323</v>
      </c>
      <c r="C22" s="471"/>
      <c r="D22" s="470"/>
      <c r="E22" s="472"/>
      <c r="F22" s="472"/>
      <c r="G22" s="471"/>
      <c r="H22" s="256"/>
      <c r="I22" s="257">
        <f>I14</f>
        <v>12078</v>
      </c>
    </row>
    <row r="23" spans="1:9" x14ac:dyDescent="0.25">
      <c r="A23" s="250" t="s">
        <v>106</v>
      </c>
      <c r="B23" s="473" t="s">
        <v>372</v>
      </c>
      <c r="C23" s="474"/>
      <c r="D23" s="473"/>
      <c r="E23" s="475"/>
      <c r="F23" s="475"/>
      <c r="G23" s="474"/>
      <c r="H23" s="249" t="s">
        <v>353</v>
      </c>
      <c r="I23" s="251">
        <f>I22*1.221</f>
        <v>14747.238000000001</v>
      </c>
    </row>
    <row r="24" spans="1:9" x14ac:dyDescent="0.25">
      <c r="A24" s="250" t="s">
        <v>107</v>
      </c>
      <c r="B24" s="473" t="s">
        <v>354</v>
      </c>
      <c r="C24" s="474"/>
      <c r="D24" s="473" t="s">
        <v>347</v>
      </c>
      <c r="E24" s="475"/>
      <c r="F24" s="475"/>
      <c r="G24" s="474"/>
      <c r="H24" s="249" t="s">
        <v>355</v>
      </c>
      <c r="I24" s="251">
        <f>I23*4.21</f>
        <v>62085.871980000004</v>
      </c>
    </row>
    <row r="25" spans="1:9" x14ac:dyDescent="0.25">
      <c r="A25" s="250" t="s">
        <v>108</v>
      </c>
      <c r="B25" s="476" t="s">
        <v>324</v>
      </c>
      <c r="C25" s="477"/>
      <c r="D25" s="476"/>
      <c r="E25" s="478"/>
      <c r="F25" s="478"/>
      <c r="G25" s="477"/>
      <c r="H25" s="252"/>
      <c r="I25" s="253">
        <f>I24</f>
        <v>62085.871980000004</v>
      </c>
    </row>
    <row r="26" spans="1:9" x14ac:dyDescent="0.25">
      <c r="A26" s="238"/>
      <c r="B26" s="238"/>
      <c r="C26" s="238"/>
      <c r="D26" s="238"/>
      <c r="E26" s="238"/>
      <c r="F26" s="238"/>
      <c r="G26" s="238"/>
      <c r="H26" s="238"/>
      <c r="I26" s="238"/>
    </row>
    <row r="27" spans="1:9" ht="15" customHeight="1" x14ac:dyDescent="0.25">
      <c r="A27" s="479" t="s">
        <v>356</v>
      </c>
      <c r="B27" s="479"/>
      <c r="C27" s="479"/>
      <c r="D27" s="479" t="s">
        <v>374</v>
      </c>
      <c r="E27" s="479"/>
      <c r="F27" s="479"/>
      <c r="G27" s="479"/>
      <c r="H27" s="479"/>
      <c r="I27" s="479"/>
    </row>
    <row r="28" spans="1:9" x14ac:dyDescent="0.25">
      <c r="A28" s="246"/>
      <c r="B28" s="246"/>
      <c r="C28" s="246"/>
      <c r="D28" s="245"/>
      <c r="E28" s="246"/>
      <c r="F28" s="246"/>
      <c r="G28" s="246"/>
      <c r="H28" s="246"/>
      <c r="I28" s="246"/>
    </row>
    <row r="29" spans="1:9" x14ac:dyDescent="0.25">
      <c r="A29" s="482" t="s">
        <v>357</v>
      </c>
      <c r="B29" s="482"/>
      <c r="C29" s="482"/>
      <c r="D29" s="482"/>
      <c r="E29" s="482"/>
      <c r="F29" s="482"/>
      <c r="G29" s="482"/>
      <c r="H29" s="482"/>
      <c r="I29" s="482"/>
    </row>
    <row r="30" spans="1:9" x14ac:dyDescent="0.25">
      <c r="A30" s="469"/>
      <c r="B30" s="469"/>
      <c r="C30" s="469"/>
      <c r="D30" s="469"/>
      <c r="E30" s="469"/>
      <c r="F30" s="469"/>
      <c r="G30" s="469"/>
      <c r="H30" s="469"/>
      <c r="I30" s="469"/>
    </row>
    <row r="31" spans="1:9" x14ac:dyDescent="0.25">
      <c r="A31" s="482" t="s">
        <v>358</v>
      </c>
      <c r="B31" s="482"/>
      <c r="C31" s="482"/>
      <c r="D31" s="482"/>
      <c r="E31" s="482"/>
      <c r="F31" s="482"/>
      <c r="G31" s="482"/>
      <c r="H31" s="482"/>
      <c r="I31" s="482"/>
    </row>
    <row r="32" spans="1:9" x14ac:dyDescent="0.25">
      <c r="A32" s="482"/>
      <c r="B32" s="482"/>
      <c r="C32" s="482"/>
      <c r="D32" s="482"/>
      <c r="E32" s="482"/>
      <c r="F32" s="482"/>
      <c r="G32" s="482"/>
      <c r="H32" s="482"/>
      <c r="I32" s="482"/>
    </row>
    <row r="33" spans="1:9" x14ac:dyDescent="0.25">
      <c r="A33" s="482" t="s">
        <v>359</v>
      </c>
      <c r="B33" s="482"/>
      <c r="C33" s="482"/>
      <c r="D33" s="482"/>
      <c r="E33" s="482"/>
      <c r="F33" s="482"/>
      <c r="G33" s="482"/>
      <c r="H33" s="482"/>
      <c r="I33" s="482"/>
    </row>
    <row r="34" spans="1:9" x14ac:dyDescent="0.25">
      <c r="A34" s="469"/>
      <c r="B34" s="469"/>
      <c r="C34" s="469"/>
      <c r="D34" s="469"/>
      <c r="E34" s="469"/>
      <c r="F34" s="469"/>
      <c r="G34" s="469"/>
      <c r="H34" s="469"/>
      <c r="I34" s="469"/>
    </row>
    <row r="35" spans="1:9" x14ac:dyDescent="0.25">
      <c r="A35" s="482" t="s">
        <v>360</v>
      </c>
      <c r="B35" s="482"/>
      <c r="C35" s="482"/>
      <c r="D35" s="482"/>
      <c r="E35" s="482"/>
      <c r="F35" s="482"/>
      <c r="G35" s="482"/>
      <c r="H35" s="482"/>
      <c r="I35" s="482"/>
    </row>
    <row r="36" spans="1:9" x14ac:dyDescent="0.25">
      <c r="A36" s="469"/>
      <c r="B36" s="469"/>
      <c r="C36" s="469"/>
      <c r="D36" s="469"/>
      <c r="E36" s="469"/>
      <c r="F36" s="469"/>
      <c r="G36" s="469"/>
      <c r="H36" s="469"/>
      <c r="I36" s="469"/>
    </row>
    <row r="37" spans="1:9" x14ac:dyDescent="0.25">
      <c r="A37" s="246"/>
      <c r="B37" s="246"/>
      <c r="C37" s="246"/>
      <c r="D37" s="246"/>
      <c r="E37" s="246"/>
      <c r="F37" s="246"/>
      <c r="G37" s="246"/>
      <c r="H37" s="246"/>
      <c r="I37" s="246"/>
    </row>
  </sheetData>
  <mergeCells count="48">
    <mergeCell ref="A33:I33"/>
    <mergeCell ref="A34:I34"/>
    <mergeCell ref="A35:I35"/>
    <mergeCell ref="A36:I36"/>
    <mergeCell ref="A27:C27"/>
    <mergeCell ref="A29:I29"/>
    <mergeCell ref="A30:I30"/>
    <mergeCell ref="A31:I31"/>
    <mergeCell ref="A32:I32"/>
    <mergeCell ref="B23:C23"/>
    <mergeCell ref="D23:G23"/>
    <mergeCell ref="B24:C24"/>
    <mergeCell ref="D24:G24"/>
    <mergeCell ref="B25:C25"/>
    <mergeCell ref="D25:G25"/>
    <mergeCell ref="B20:C20"/>
    <mergeCell ref="D20:G20"/>
    <mergeCell ref="B21:C21"/>
    <mergeCell ref="D21:G21"/>
    <mergeCell ref="B22:C22"/>
    <mergeCell ref="D22:G22"/>
    <mergeCell ref="B17:C17"/>
    <mergeCell ref="D17:G17"/>
    <mergeCell ref="B18:C18"/>
    <mergeCell ref="D18:G18"/>
    <mergeCell ref="B19:C19"/>
    <mergeCell ref="D19:G19"/>
    <mergeCell ref="D12:G12"/>
    <mergeCell ref="B13:C13"/>
    <mergeCell ref="D13:G13"/>
    <mergeCell ref="B14:C14"/>
    <mergeCell ref="D14:G14"/>
    <mergeCell ref="A9:I9"/>
    <mergeCell ref="A10:I10"/>
    <mergeCell ref="D27:I27"/>
    <mergeCell ref="D1:I1"/>
    <mergeCell ref="A7:I7"/>
    <mergeCell ref="A8:I8"/>
    <mergeCell ref="A1:C1"/>
    <mergeCell ref="A3:I3"/>
    <mergeCell ref="A4:I4"/>
    <mergeCell ref="A5:I5"/>
    <mergeCell ref="A6:I6"/>
    <mergeCell ref="B15:C15"/>
    <mergeCell ref="D15:G15"/>
    <mergeCell ref="B16:C16"/>
    <mergeCell ref="D16:G16"/>
    <mergeCell ref="B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КП</vt:lpstr>
      <vt:lpstr>Кал план</vt:lpstr>
      <vt:lpstr>1 геодез</vt:lpstr>
      <vt:lpstr>2 Гидрометео</vt:lpstr>
      <vt:lpstr>3 Оценка вреда биоресурсам</vt:lpstr>
      <vt:lpstr>9 Инж-археологич изыскания</vt:lpstr>
      <vt:lpstr>18 ГОЧС</vt:lpstr>
      <vt:lpstr>'3 Оценка вреда биоресурсам'!Область_печати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kornilova_ea</dc:creator>
  <cp:lastModifiedBy>Гармазов</cp:lastModifiedBy>
  <cp:lastPrinted>2022-04-01T03:31:57Z</cp:lastPrinted>
  <dcterms:created xsi:type="dcterms:W3CDTF">2016-06-07T07:58:36Z</dcterms:created>
  <dcterms:modified xsi:type="dcterms:W3CDTF">2022-04-21T05:03:35Z</dcterms:modified>
</cp:coreProperties>
</file>